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Т-подкл'!$385:$387</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Т-подкл'!$388:$390</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тарифов'!$148:$172</definedName>
    <definedName name="BLOCK_PT_HEAT">'Перечень тарифов'!$13:$146</definedName>
    <definedName name="BLOCK_PT_HEAT_NOT_R">'Перечень тарифов'!$132:$136</definedName>
    <definedName name="BLOCK_PT_HEAT_NOT_R_TMP">'Перечень тарифов'!$127:$131</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тарифов'!$174:$188</definedName>
    <definedName name="BLOCK_PT_VOTV">'Перечень тарифов'!$190:$204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территорий'!$E$60:$I$60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тарифов'!$Z$12:$Z$206</definedName>
    <definedName name="DIFFERENTIATION_TARIFF_VD_ID">'Перечень тарифов'!$AB$12:$AB$206</definedName>
    <definedName name="DIFFERENTIATION_TARIFF_VTAR_ID">'Перечень тарифов'!$AA$12:$AA$206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территорий'!$C$12:$C$60</definedName>
    <definedName name="pDel_LT_MO">'Список территорий'!$D$11:$D$60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территорий'!$G$60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Т-подкл'!$T$384</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тарифов'!$AL$12:$AL$206</definedName>
    <definedName name="PT_DIFFERENTIATION_CS_ID">'Перечень тарифов'!$AF$12:$AF$206</definedName>
    <definedName name="PT_DIFFERENTIATION_IST_TE">'Перечень тарифов'!$AM$12:$AM$206</definedName>
    <definedName name="PT_DIFFERENTIATION_IST_TE_ID">'Перечень тарифов'!$AG$12:$AG$206</definedName>
    <definedName name="PT_DIFFERENTIATION_NTAR">'Перечень тарифов'!$AJ$12:$AJ$206</definedName>
    <definedName name="PT_DIFFERENTIATION_NTAR_ID">'Перечень тарифов'!$AD$12:$AD$206</definedName>
    <definedName name="PT_DIFFERENTIATION_NUM_CS">'Перечень тарифов'!$AP$12:$AP$206</definedName>
    <definedName name="PT_DIFFERENTIATION_NUM_IST_TE">'Перечень тарифов'!$AQ$12:$AQ$206</definedName>
    <definedName name="PT_DIFFERENTIATION_NUM_NTAR">'Перечень тарифов'!$AN$12:$AN$206</definedName>
    <definedName name="PT_DIFFERENTIATION_NUM_TER">'Перечень тарифов'!$AO$12:$AO$206</definedName>
    <definedName name="PT_DIFFERENTIATION_TER">'Перечень тарифов'!$AK$12:$AK$206</definedName>
    <definedName name="PT_DIFFERENTIATION_TER_ID">'Перечень тарифов'!$AE$12:$AE$206</definedName>
    <definedName name="PT_DIFFERENTIATION_VDET">'Перечень тарифов'!$AI$12:$AI$206</definedName>
    <definedName name="PT_DIFFERENTIATION_VTAR">'Перечень тарифов'!$AH$12:$AH$206</definedName>
    <definedName name="PT_DIFFERENTIATION_VTAR_ID">'Перечень тарифов'!$AC$12:$AC$206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тарифов'!$F$132</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Т-подкл'!$45:$283</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тарифов'!$W$205</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Т-подкл'!$AT$385</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территорий'!$I$61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территорий'!$E$11:$I$60</definedName>
    <definedName name="TERRITORY_ID">TEHSHEET!$E$56</definedName>
    <definedName name="TERRITORY_LIST_ID">'Список территорий'!$F$11:$F$60</definedName>
    <definedName name="TERRITORY_MO_LIST">'Список территорий'!$H$11:$H$60</definedName>
    <definedName name="TERRITORY_MR_LIST">'Список территорий'!$G$11:$G$60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Т-подкл'!$61:$74</definedName>
    <definedName name="pt_cs_30">'ТС. Т-подкл'!$62:$73</definedName>
    <definedName name="pt_ist_te_30">'ТС. Т-подкл'!$63:$72</definedName>
    <definedName name="pt_ntar_30">'ТС. Т-подкл'!$284:$383</definedName>
    <definedName name="pt_ter_31">'ТС. Т-подкл'!$285:$298</definedName>
    <definedName name="pt_cs_31">'ТС. Т-подкл'!$286:$297</definedName>
    <definedName name="pt_ist_te_31">'ТС. Т-подкл'!$287:$296</definedName>
    <definedName name="ter_51">'Список территорий'!$G$19:$I$19</definedName>
    <definedName name="pt_ter_32">'ТС. Т-подкл'!$75:$100</definedName>
    <definedName name="pt_cs_32">'ТС. Т-подкл'!$76:$87</definedName>
    <definedName name="pt_ist_te_32">'ТС. Т-подкл'!$77:$86</definedName>
    <definedName name="pt_ter_33">'ТС. Т-подкл'!$299:$312</definedName>
    <definedName name="pt_cs_33">'ТС. Т-подкл'!$300:$311</definedName>
    <definedName name="pt_ist_te_33">'ТС. Т-подкл'!$301:$310</definedName>
    <definedName name="ter_511">'Список территорий'!$G$22:$I$22</definedName>
    <definedName name="pt_ter_34">'ТС. Т-подкл'!$101:$114</definedName>
    <definedName name="pt_cs_34">'ТС. Т-подкл'!$102:$113</definedName>
    <definedName name="pt_ist_te_34">'ТС. Т-подкл'!$103:$112</definedName>
    <definedName name="pt_ter_35">'ТС. Т-подкл'!$313:$326</definedName>
    <definedName name="pt_cs_35">'ТС. Т-подкл'!$314:$325</definedName>
    <definedName name="pt_ist_te_35">'ТС. Т-подкл'!$315:$324</definedName>
    <definedName name="pt_ter_36">'ТС. Т-подкл'!$115:$128</definedName>
    <definedName name="pt_cs_36">'ТС. Т-подкл'!$116:$127</definedName>
    <definedName name="pt_ist_te_36">'ТС. Т-подкл'!$117:$126</definedName>
    <definedName name="pt_cs_37">'ТС. Т-подкл'!#REF!</definedName>
    <definedName name="pt_ist_te_37">'ТС. Т-подкл'!#REF!</definedName>
    <definedName name="pt_cs_38">'ТС. Т-подкл'!$88:$99</definedName>
    <definedName name="pt_ist_te_38">'ТС. Т-подкл'!$89:$98</definedName>
    <definedName name="ter_5111">'Список территорий'!$G$25:$I$25</definedName>
    <definedName name="ter_51111">'Список территорий'!$G$28:$I$28</definedName>
    <definedName name="pt_ter_38">'ТС. Т-подкл'!$129:$142</definedName>
    <definedName name="pt_cs_39">'ТС. Т-подкл'!$130:$141</definedName>
    <definedName name="pt_ist_te_39">'ТС. Т-подкл'!$131:$140</definedName>
    <definedName name="ter_511111">'Список территорий'!$G$31:$I$31</definedName>
    <definedName name="pt_ter_39">'ТС. Т-подкл'!$143:$156</definedName>
    <definedName name="pt_cs_40">'ТС. Т-подкл'!$144:$155</definedName>
    <definedName name="pt_ist_te_40">'ТС. Т-подкл'!$145:$154</definedName>
    <definedName name="pt_ter_40">'ТС. Т-подкл'!$327:$340</definedName>
    <definedName name="pt_cs_41">'ТС. Т-подкл'!$328:$339</definedName>
    <definedName name="pt_ist_te_41">'ТС. Т-подкл'!$329:$338</definedName>
    <definedName name="ter_5111111">'Список территорий'!$G$34:$I$34</definedName>
    <definedName name="ter_51111111">'Список территорий'!$G$37:$I$37</definedName>
    <definedName name="pt_ter_41">'ТС. Т-подкл'!$157:$170</definedName>
    <definedName name="pt_cs_42">'ТС. Т-подкл'!$158:$169</definedName>
    <definedName name="pt_ist_te_42">'ТС. Т-подкл'!$159:$168</definedName>
    <definedName name="pt_ter_42">'ТС. Т-подкл'!$171:$184</definedName>
    <definedName name="pt_cs_43">'ТС. Т-подкл'!$172:$183</definedName>
    <definedName name="pt_ist_te_43">'ТС. Т-подкл'!$173:$182</definedName>
    <definedName name="ter_511111111">'Список территорий'!$G$40:$I$40</definedName>
    <definedName name="ter_5111111111">'Список территорий'!$G$43:$I$43</definedName>
    <definedName name="pt_ter_43">'ТС. Т-подкл'!$185:$198</definedName>
    <definedName name="pt_cs_44">'ТС. Т-подкл'!$186:$197</definedName>
    <definedName name="pt_ist_te_44">'ТС. Т-подкл'!$187:$196</definedName>
    <definedName name="pt_ter_44">'ТС. Т-подкл'!$199:$212</definedName>
    <definedName name="pt_cs_45">'ТС. Т-подкл'!$200:$211</definedName>
    <definedName name="pt_ist_te_45">'ТС. Т-подкл'!$201:$210</definedName>
    <definedName name="ter_51111111111">'Список территорий'!$G$46:$I$46</definedName>
    <definedName name="pt_ter_45">'ТС. Т-подкл'!$213:$226</definedName>
    <definedName name="pt_cs_46">'ТС. Т-подкл'!$214:$225</definedName>
    <definedName name="pt_ist_te_46">'ТС. Т-подкл'!$215:$224</definedName>
    <definedName name="ter_511111111111">'Список территорий'!$G$49:$I$49</definedName>
    <definedName name="ter_5111111111111">'Список территорий'!$G$52:$I$52</definedName>
    <definedName name="ter_51111111111111">'Список территорий'!$G$55:$I$55</definedName>
    <definedName name="ter_511111111111111">'Список территорий'!$G$58:$I$58</definedName>
    <definedName name="pt_ter_46">'ТС. Т-подкл'!$227:$240</definedName>
    <definedName name="pt_cs_47">'ТС. Т-подкл'!$228:$239</definedName>
    <definedName name="pt_ist_te_47">'ТС. Т-подкл'!$229:$238</definedName>
    <definedName name="pt_ter_47">'ТС. Т-подкл'!$241:$254</definedName>
    <definedName name="pt_cs_48">'ТС. Т-подкл'!$242:$253</definedName>
    <definedName name="pt_ist_te_48">'ТС. Т-подкл'!$243:$252</definedName>
    <definedName name="pt_ter_48">'ТС. Т-подкл'!$255:$268</definedName>
    <definedName name="pt_cs_49">'ТС. Т-подкл'!$256:$267</definedName>
    <definedName name="pt_ist_te_49">'ТС. Т-подкл'!$257:$266</definedName>
    <definedName name="pt_ter_49">'ТС. Т-подкл'!$269:$282</definedName>
    <definedName name="pt_cs_50">'ТС. Т-подкл'!$270:$281</definedName>
    <definedName name="pt_ist_te_50">'ТС. Т-подкл'!$271:$280</definedName>
    <definedName name="pt_ter_50">'ТС. Т-подкл'!$341:$354</definedName>
    <definedName name="pt_cs_51">'ТС. Т-подкл'!$342:$353</definedName>
    <definedName name="pt_ist_te_51">'ТС. Т-подкл'!$343:$352</definedName>
    <definedName name="pt_ter_51">'ТС. Т-подкл'!$355:$368</definedName>
    <definedName name="pt_cs_52">'ТС. Т-подкл'!$356:$367</definedName>
    <definedName name="pt_ist_te_52">'ТС. Т-подкл'!$357:$366</definedName>
    <definedName name="pt_ter_52">'ТС. Т-подкл'!$369:$382</definedName>
    <definedName name="pt_cs_53">'ТС. Т-подкл'!$370:$381</definedName>
    <definedName name="pt_ist_te_53">'ТС. Т-подкл'!$371:$380</definedName>
    <definedName name="DESCRIPTION_TERRITORY">REESTR_DS!$B$2:$B$17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<sst xmlns="http://schemas.openxmlformats.org/spreadsheetml/2006/main" count="16254" uniqueCount="3831">
  <si>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</si>
  <si>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</si>
  <si>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</si>
  <si>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</si>
  <si>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</si>
  <si>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</si>
  <si>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</si>
  <si>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</si>
  <si>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</si>
  <si>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</si>
  <si>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</si>
  <si>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</si>
  <si>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</si>
  <si>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</si>
  <si>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</si>
  <si>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</si>
  <si>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</si>
  <si>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</si>
  <si>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</si>
  <si>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</si>
  <si>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</si>
  <si>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</si>
  <si>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</si>
  <si>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</si>
  <si>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</si>
  <si>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</si>
  <si>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</si>
  <si>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</si>
  <si>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</si>
  <si>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</si>
  <si>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</si>
  <si>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</si>
  <si>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</si>
  <si>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</si>
  <si>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</si>
  <si>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</si>
  <si>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</si>
  <si>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</si>
  <si>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</si>
  <si>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</si>
  <si>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</si>
  <si>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10/2</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</si>
  <si>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</si>
  <si>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</si>
  <si>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</si>
  <si>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</si>
  <si>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</si>
  <si>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37/2</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</si>
  <si>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</si>
  <si>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</si>
  <si>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</si>
  <si>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</si>
  <si>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</si>
  <si>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</si>
  <si>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</si>
  <si>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</si>
  <si>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</si>
  <si>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</si>
  <si>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</si>
  <si>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</si>
  <si>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</si>
  <si>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</si>
  <si>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</si>
  <si>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</si>
  <si>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</si>
  <si>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</si>
  <si>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</si>
  <si>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</si>
  <si>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</si>
  <si>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</si>
  <si>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</si>
  <si>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</si>
  <si>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</si>
  <si>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</si>
  <si>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</si>
  <si>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</si>
  <si>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</si>
  <si>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</si>
  <si>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</si>
  <si>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</si>
  <si>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</si>
  <si>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</si>
  <si>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</si>
  <si>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</si>
  <si>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</si>
  <si>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</si>
  <si>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</si>
  <si>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</si>
  <si>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</si>
  <si>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</si>
  <si>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</si>
  <si>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</si>
  <si>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</si>
  <si>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</si>
  <si>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</si>
  <si>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</si>
  <si>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</si>
  <si>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</si>
  <si>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</si>
  <si>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</si>
  <si>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</si>
  <si>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</si>
  <si>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18</t>
  </si>
  <si>
    <t>Кировский муниципальный район</t>
  </si>
  <si>
    <t>Горноключевское городское поселение</t>
  </si>
  <si>
    <t>05612154</t>
  </si>
  <si>
    <t>Добавить МО</t>
  </si>
  <si>
    <t>2</t>
  </si>
  <si>
    <t>×</t>
  </si>
  <si>
    <t>ter_5</t>
  </si>
  <si>
    <t>79</t>
  </si>
  <si>
    <t>Хасанский муниципальный округ</t>
  </si>
  <si>
    <t>05548000</t>
  </si>
  <si>
    <t>ter_51</t>
  </si>
  <si>
    <t>16</t>
  </si>
  <si>
    <t>Кавалеровский муниципальный округ</t>
  </si>
  <si>
    <t>05510000</t>
  </si>
  <si>
    <t>ter_511</t>
  </si>
  <si>
    <t>35</t>
  </si>
  <si>
    <t>Красноармейский муниципальный район</t>
  </si>
  <si>
    <t>Рощинское сельское поселение</t>
  </si>
  <si>
    <t>05614431</t>
  </si>
  <si>
    <t>5</t>
  </si>
  <si>
    <t>ter_5111</t>
  </si>
  <si>
    <t>52</t>
  </si>
  <si>
    <t>Находкинский городской округ</t>
  </si>
  <si>
    <t>05714000</t>
  </si>
  <si>
    <t>ter_51111</t>
  </si>
  <si>
    <t>80</t>
  </si>
  <si>
    <t>Хорольский муниципальный округ</t>
  </si>
  <si>
    <t>05550000</t>
  </si>
  <si>
    <t>ter_511111</t>
  </si>
  <si>
    <t>19</t>
  </si>
  <si>
    <t>05612000</t>
  </si>
  <si>
    <t>8</t>
  </si>
  <si>
    <t>ter_5111111</t>
  </si>
  <si>
    <t>38</t>
  </si>
  <si>
    <t>Лесозаводский городской округ</t>
  </si>
  <si>
    <t>05711000</t>
  </si>
  <si>
    <t>9</t>
  </si>
  <si>
    <t>ter_51111111</t>
  </si>
  <si>
    <t>1</t>
  </si>
  <si>
    <t>Анучинский муниципальный округ</t>
  </si>
  <si>
    <t>05502000</t>
  </si>
  <si>
    <t>10</t>
  </si>
  <si>
    <t>ter_511111111</t>
  </si>
  <si>
    <t>41</t>
  </si>
  <si>
    <t>Михайловский муниципальный район</t>
  </si>
  <si>
    <t>Ивановкое сельское поселение</t>
  </si>
  <si>
    <t>05620408</t>
  </si>
  <si>
    <t>11</t>
  </si>
  <si>
    <t>ter_5111111111</t>
  </si>
  <si>
    <t>12</t>
  </si>
  <si>
    <t>ter_51111111111</t>
  </si>
  <si>
    <t>73</t>
  </si>
  <si>
    <t>Спасский муниципальный район</t>
  </si>
  <si>
    <t>Спасское сельское поселение</t>
  </si>
  <si>
    <t>05637440</t>
  </si>
  <si>
    <t>13</t>
  </si>
  <si>
    <t>ter_511111111111</t>
  </si>
  <si>
    <t>Арсеньевский городской округ</t>
  </si>
  <si>
    <t>05703000</t>
  </si>
  <si>
    <t>14</t>
  </si>
  <si>
    <t>ter_5111111111111</t>
  </si>
  <si>
    <t>55</t>
  </si>
  <si>
    <t>Партизанский городской округ</t>
  </si>
  <si>
    <t>05717000</t>
  </si>
  <si>
    <t>15</t>
  </si>
  <si>
    <t>ter_51111111111111</t>
  </si>
  <si>
    <t>56</t>
  </si>
  <si>
    <t>Партизанский муниципальный округ</t>
  </si>
  <si>
    <t>05530000</t>
  </si>
  <si>
    <t>ter_511111111111111</t>
  </si>
  <si>
    <t>25</t>
  </si>
  <si>
    <t>Красноармейский муниципальный округ</t>
  </si>
  <si>
    <t>05514000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</si>
  <si>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</si>
  <si>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</si>
  <si>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</si>
  <si>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</si>
  <si>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</si>
  <si>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</si>
  <si>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</si>
  <si>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</si>
  <si>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</si>
  <si>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</si>
  <si>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</si>
  <si>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</si>
  <si>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</si>
  <si>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</si>
  <si>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</si>
  <si>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</si>
  <si>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</si>
  <si>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</si>
  <si>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</si>
  <si>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</si>
  <si>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</si>
  <si>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</si>
  <si>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</si>
  <si>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</si>
  <si>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</si>
  <si>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</si>
  <si>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</si>
  <si>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</si>
  <si>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</si>
  <si>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</si>
  <si>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</si>
  <si>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</si>
  <si>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</si>
  <si>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</si>
  <si>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</si>
  <si>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</si>
  <si>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</si>
  <si>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</si>
  <si>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</si>
  <si>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</si>
  <si>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</si>
  <si>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</si>
  <si>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</si>
  <si>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</si>
  <si>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</si>
  <si>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</si>
  <si>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</si>
  <si>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</si>
  <si>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</si>
  <si>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</si>
  <si>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</si>
  <si>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</si>
  <si>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</si>
  <si>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</si>
  <si>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</si>
  <si>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</si>
  <si>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</si>
  <si>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</si>
  <si>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</si>
  <si>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</si>
  <si>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</si>
  <si>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</si>
  <si>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</si>
  <si>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</si>
  <si>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</si>
  <si>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</si>
  <si>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</si>
  <si>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</si>
  <si>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</si>
  <si>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</si>
  <si>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</si>
  <si>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</si>
  <si>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</si>
  <si>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</si>
  <si>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</si>
  <si>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</si>
  <si>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</si>
  <si>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</si>
  <si>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</si>
  <si>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</si>
  <si>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</si>
  <si>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</si>
  <si>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</si>
  <si>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</si>
  <si>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t>
  </si>
  <si>
    <t>кп Горные Ключи Кировского муниципального округа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</si>
  <si>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</si>
  <si>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</si>
  <si>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</si>
  <si>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</si>
  <si>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</si>
  <si>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</si>
  <si>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</si>
  <si>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</si>
  <si>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pt_ter_30</t>
  </si>
  <si>
    <t>pt_cs_30</t>
  </si>
  <si>
    <t>pt_ist_te_30</t>
  </si>
  <si>
    <t xml:space="preserve">п. Рудный Кавалеровский муниципальный округ
</t>
  </si>
  <si>
    <t>pt_ter_32</t>
  </si>
  <si>
    <t>pt_cs_32</t>
  </si>
  <si>
    <t>pt_ist_te_32</t>
  </si>
  <si>
    <t>пгт. Кавалерово Кавалеровский муниципальный округ</t>
  </si>
  <si>
    <t>pt_cs_38</t>
  </si>
  <si>
    <t>pt_ist_te_38</t>
  </si>
  <si>
    <t>Рощинское сельское поселение с. Рощино</t>
  </si>
  <si>
    <t>pt_ter_34</t>
  </si>
  <si>
    <t>pt_cs_34</t>
  </si>
  <si>
    <t>pt_ist_te_34</t>
  </si>
  <si>
    <t>pt_ter_36</t>
  </si>
  <si>
    <t>pt_cs_36</t>
  </si>
  <si>
    <t>pt_ist_te_36</t>
  </si>
  <si>
    <t>с. Хороль, Хорольский муниципальный округ</t>
  </si>
  <si>
    <t>pt_ter_38</t>
  </si>
  <si>
    <t>pt_cs_39</t>
  </si>
  <si>
    <t>pt_ist_te_39</t>
  </si>
  <si>
    <t>пгт Кировский, Кировский муниципальный округ</t>
  </si>
  <si>
    <t>pt_ter_39</t>
  </si>
  <si>
    <t>pt_cs_40</t>
  </si>
  <si>
    <t>pt_ist_te_40</t>
  </si>
  <si>
    <t>г.Лесозаводск, Лесозаволской муниципальный округ</t>
  </si>
  <si>
    <t>pt_ter_41</t>
  </si>
  <si>
    <t>pt_cs_42</t>
  </si>
  <si>
    <t>pt_ist_te_42</t>
  </si>
  <si>
    <t>с.Анучино, Анучинский муниципальный округ</t>
  </si>
  <si>
    <t>pt_ter_42</t>
  </si>
  <si>
    <t>pt_cs_43</t>
  </si>
  <si>
    <t>pt_ist_te_43</t>
  </si>
  <si>
    <t>с.Ивановка, Михайловский муниципальный округ</t>
  </si>
  <si>
    <t>pt_ter_43</t>
  </si>
  <si>
    <t>pt_cs_44</t>
  </si>
  <si>
    <t>pt_ist_te_44</t>
  </si>
  <si>
    <t>пгт. Ярославский, Хорольский муниципальный округ</t>
  </si>
  <si>
    <t>pt_ter_44</t>
  </si>
  <si>
    <t>pt_cs_45</t>
  </si>
  <si>
    <t>pt_ist_te_45</t>
  </si>
  <si>
    <t>с. Спасское, муниципального округа Спасск-Дальний</t>
  </si>
  <si>
    <t>pt_ter_45</t>
  </si>
  <si>
    <t>pt_cs_46</t>
  </si>
  <si>
    <t>pt_ist_te_46</t>
  </si>
  <si>
    <t>pt_ter_46</t>
  </si>
  <si>
    <t>pt_cs_47</t>
  </si>
  <si>
    <t>pt_ist_te_47</t>
  </si>
  <si>
    <t>с. Углекаменск, муниципального округа город Партизанск</t>
  </si>
  <si>
    <t>pt_ter_47</t>
  </si>
  <si>
    <t>pt_cs_48</t>
  </si>
  <si>
    <t>pt_ist_te_48</t>
  </si>
  <si>
    <t>пос. Волчанец, Партизанского муниципального округа</t>
  </si>
  <si>
    <t>pt_ter_48</t>
  </si>
  <si>
    <t>pt_cs_49</t>
  </si>
  <si>
    <t>pt_ist_te_49</t>
  </si>
  <si>
    <t>с. Новопокровка, Красноармейского муниципального округа</t>
  </si>
  <si>
    <t>pt_ter_49</t>
  </si>
  <si>
    <t>pt_cs_50</t>
  </si>
  <si>
    <t>pt_ist_te_50</t>
  </si>
  <si>
    <t>Добавить территорию для дифференциации</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</si>
  <si>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t>
  </si>
  <si>
    <t>pt_ntar_30</t>
  </si>
  <si>
    <t>pt_ter_31</t>
  </si>
  <si>
    <t>pt_cs_31</t>
  </si>
  <si>
    <t>pt_ist_te_31</t>
  </si>
  <si>
    <t>п. Рудный Кавалеровский муниципальный округ</t>
  </si>
  <si>
    <t>pt_ter_33</t>
  </si>
  <si>
    <t>pt_cs_33</t>
  </si>
  <si>
    <t>pt_ist_te_33</t>
  </si>
  <si>
    <t>pt_ter_35</t>
  </si>
  <si>
    <t>pt_cs_35</t>
  </si>
  <si>
    <t>pt_ist_te_35</t>
  </si>
  <si>
    <t>pt_ter_40</t>
  </si>
  <si>
    <t>pt_cs_41</t>
  </si>
  <si>
    <t>pt_ist_te_41</t>
  </si>
  <si>
    <t>pt_ter_50</t>
  </si>
  <si>
    <t>pt_cs_51</t>
  </si>
  <si>
    <t>pt_ist_te_51</t>
  </si>
  <si>
    <t>с. Новопокровка, Красноармейский Муниципальный округ</t>
  </si>
  <si>
    <t>pt_ter_51</t>
  </si>
  <si>
    <t>pt_cs_52</t>
  </si>
  <si>
    <t>pt_ist_te_52</t>
  </si>
  <si>
    <t>pt_ter_52</t>
  </si>
  <si>
    <t>pt_cs_53</t>
  </si>
  <si>
    <t>pt_ist_te_53</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</si>
  <si>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</si>
  <si>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</si>
  <si>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</si>
  <si>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</si>
  <si>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</si>
  <si>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</si>
  <si>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</si>
  <si>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</si>
  <si>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</si>
  <si>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</si>
  <si>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</si>
  <si>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</si>
  <si>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</si>
  <si>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</si>
  <si>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</si>
  <si>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</si>
  <si>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</si>
  <si>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</si>
  <si>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</si>
  <si>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</si>
  <si>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</si>
  <si>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</si>
  <si>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</si>
  <si>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</si>
  <si>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</si>
  <si>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</si>
  <si>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</si>
  <si>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</si>
  <si>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</si>
  <si>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</si>
  <si>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</si>
  <si>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</si>
  <si>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</si>
  <si>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</si>
  <si>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</si>
  <si>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</si>
  <si>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</si>
  <si>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</si>
  <si>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</si>
  <si>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</si>
  <si>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</si>
  <si>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</si>
  <si>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</si>
  <si>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</si>
  <si>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</si>
  <si>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</si>
  <si>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</si>
  <si>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</si>
  <si>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</si>
  <si>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</si>
  <si>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</si>
  <si>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</si>
  <si>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</si>
  <si>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</si>
  <si>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</si>
  <si>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</si>
  <si>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</si>
  <si>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</si>
  <si>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</si>
  <si>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</si>
  <si>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</si>
  <si>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</si>
  <si>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</si>
  <si>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</si>
  <si>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</si>
  <si>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</si>
  <si>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</si>
  <si>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</si>
  <si>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</si>
  <si>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</si>
  <si>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</si>
  <si>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</si>
  <si>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</si>
  <si>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</si>
  <si>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</si>
  <si>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</si>
  <si>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</si>
  <si>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</si>
  <si>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</si>
  <si>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</si>
  <si>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</si>
  <si>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</si>
  <si>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</si>
  <si>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</si>
  <si>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</si>
  <si>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</si>
  <si>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</si>
  <si>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</si>
  <si>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</si>
  <si>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</si>
  <si>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</si>
  <si>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</si>
  <si>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</si>
  <si>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</si>
  <si>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</si>
  <si>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</si>
  <si>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</si>
  <si>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</si>
  <si>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</si>
  <si>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</si>
  <si>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</si>
  <si>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</si>
  <si>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</si>
  <si>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</si>
  <si>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</si>
  <si>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</si>
  <si>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</si>
  <si>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</si>
  <si>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</si>
  <si>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</si>
  <si>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</si>
  <si>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</si>
  <si>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</si>
  <si>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</si>
  <si>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</si>
  <si>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</si>
  <si>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</si>
  <si>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</si>
  <si>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</si>
  <si>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</si>
  <si>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</si>
  <si>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</si>
  <si>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</si>
  <si>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</si>
  <si>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</si>
  <si>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</si>
  <si>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</si>
  <si>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</si>
  <si>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</si>
  <si>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</si>
  <si>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</si>
  <si>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</si>
  <si>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</si>
  <si>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</si>
  <si>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</si>
  <si>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</si>
  <si>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</si>
  <si>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</si>
  <si>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</si>
  <si>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</si>
  <si>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</si>
  <si>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</si>
  <si>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</si>
  <si>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</si>
  <si>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</si>
  <si>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</si>
  <si>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</si>
  <si>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</si>
  <si>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</si>
  <si>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</si>
  <si>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</si>
  <si>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</si>
  <si>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</si>
  <si>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</si>
  <si>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</si>
  <si>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</si>
  <si>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</si>
  <si>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</si>
  <si>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</si>
  <si>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</si>
  <si>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</si>
  <si>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</si>
  <si>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</si>
  <si>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</si>
  <si>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</si>
  <si>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</si>
  <si>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</si>
  <si>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</si>
  <si>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</si>
  <si>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</si>
  <si>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</si>
  <si>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</si>
  <si>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</si>
  <si>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</si>
  <si>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</si>
  <si>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</si>
  <si>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</si>
  <si>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</si>
  <si>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</si>
  <si>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</si>
  <si>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</si>
  <si>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</si>
  <si>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</si>
  <si>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</si>
  <si>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</si>
  <si>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</si>
  <si>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</si>
  <si>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</si>
  <si>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</si>
  <si>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</si>
  <si>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</si>
  <si>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</si>
  <si>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</si>
  <si>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</si>
  <si>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</si>
  <si>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</si>
  <si>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</si>
  <si>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</si>
  <si>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</si>
  <si>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</si>
  <si>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</si>
  <si>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</si>
  <si>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</si>
  <si>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</si>
  <si>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</si>
  <si>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</si>
  <si>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</si>
  <si>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</si>
  <si>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</si>
  <si>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</si>
  <si>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</si>
  <si>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</si>
  <si>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</si>
  <si>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</si>
  <si>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</si>
  <si>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</si>
  <si>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</si>
  <si>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</si>
  <si>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</si>
  <si>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</si>
  <si>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</si>
  <si>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</si>
  <si>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</si>
  <si>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</si>
  <si>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</si>
  <si>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</si>
  <si>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</si>
  <si>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</si>
  <si>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</si>
  <si>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</si>
  <si>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</si>
  <si>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</si>
  <si>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</si>
  <si>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</si>
  <si>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</si>
  <si>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</si>
  <si>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</si>
  <si>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</si>
  <si>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</si>
  <si>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</si>
  <si>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</si>
  <si>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</si>
  <si>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</si>
  <si>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</si>
  <si>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</si>
  <si>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</si>
  <si>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</si>
  <si>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</si>
  <si>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</si>
  <si>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</si>
  <si>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</si>
  <si>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</si>
  <si>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</si>
  <si>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</si>
  <si>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</si>
  <si>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</si>
  <si>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</si>
  <si>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</si>
  <si>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</si>
  <si>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</si>
  <si>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</si>
  <si>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</si>
  <si>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</si>
  <si>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</si>
  <si>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</si>
  <si>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</si>
  <si>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</si>
  <si>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</si>
  <si>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</si>
  <si>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</si>
  <si>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</si>
  <si>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</si>
  <si>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</si>
  <si>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</si>
  <si>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Котельная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</si>
  <si>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</si>
  <si>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подземная (бесканальная)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</si>
  <si>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</si>
  <si>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</si>
  <si>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</si>
  <si>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</si>
  <si>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</si>
  <si>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</si>
  <si>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</si>
  <si>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</si>
  <si>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</si>
  <si>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</si>
  <si>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</si>
  <si>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</si>
  <si>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</si>
  <si>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</si>
  <si>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</si>
  <si>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</si>
  <si>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</si>
  <si>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</si>
  <si>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</si>
  <si>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</si>
  <si>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</si>
  <si>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</si>
  <si>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</si>
  <si>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</si>
  <si>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</si>
  <si>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</si>
  <si>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</si>
  <si>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</si>
  <si>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</si>
  <si>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</si>
  <si>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</si>
  <si>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</si>
  <si>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</si>
  <si>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</si>
  <si>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</si>
  <si>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</si>
  <si>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</si>
  <si>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</si>
  <si>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</si>
  <si>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</si>
  <si>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</si>
  <si>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</si>
  <si>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</si>
  <si>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</si>
  <si>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</si>
  <si>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</si>
  <si>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</si>
  <si>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</si>
  <si>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</si>
  <si>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</si>
  <si>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</si>
  <si>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</si>
  <si>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</si>
  <si>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</si>
  <si>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</si>
  <si>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</si>
  <si>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</si>
  <si>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</si>
  <si>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</si>
  <si>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</si>
  <si>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</si>
  <si>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</si>
  <si>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</si>
  <si>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</si>
  <si>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</si>
  <si>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</si>
  <si>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</si>
  <si>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</si>
  <si>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</si>
  <si>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</si>
  <si>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</si>
  <si>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</si>
  <si>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</si>
  <si>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</si>
  <si>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</si>
  <si>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</si>
  <si>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</si>
  <si>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</si>
  <si>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</si>
  <si>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</si>
  <si>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</si>
  <si>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</si>
  <si>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</si>
  <si>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</si>
  <si>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</si>
  <si>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</si>
  <si>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</si>
  <si>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</si>
  <si>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</si>
  <si>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</si>
  <si>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</si>
  <si>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</si>
  <si>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</si>
  <si>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</si>
  <si>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</si>
  <si>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</si>
  <si>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</si>
  <si>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</si>
  <si>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</si>
  <si>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</si>
  <si>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</si>
  <si>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</si>
  <si>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</si>
  <si>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</si>
  <si>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</si>
  <si>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</si>
  <si>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</si>
  <si>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</si>
  <si>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</si>
  <si>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</si>
  <si>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</si>
  <si>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</si>
  <si>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</si>
  <si>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</si>
  <si>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</si>
  <si>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</si>
  <si>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</si>
  <si>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</si>
  <si>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</si>
  <si>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</si>
  <si>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</si>
  <si>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</si>
  <si>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</si>
  <si>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</si>
  <si>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</si>
  <si>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</si>
  <si>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</si>
  <si>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</si>
  <si>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</si>
  <si>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</si>
  <si>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</si>
  <si>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</si>
  <si>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</si>
  <si>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</si>
  <si>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</si>
  <si>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</si>
  <si>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</si>
  <si>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</si>
  <si>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</si>
  <si>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</si>
  <si>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</si>
  <si>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</si>
  <si>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</si>
  <si>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</si>
  <si>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</si>
  <si>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</si>
  <si>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</si>
  <si>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</si>
  <si>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</si>
  <si>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</si>
  <si>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</si>
  <si>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</si>
  <si>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</si>
  <si>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</si>
  <si>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</si>
  <si>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</si>
  <si>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</si>
  <si>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</si>
  <si>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</si>
  <si>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</si>
  <si>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</si>
  <si>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</si>
  <si>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</si>
  <si>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</si>
  <si>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</si>
  <si>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</si>
  <si>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</si>
  <si>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</si>
  <si>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</si>
  <si>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</si>
  <si>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</si>
  <si>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</si>
  <si>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</si>
  <si>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</si>
  <si>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</si>
  <si>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</si>
  <si>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</si>
  <si>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</si>
  <si>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</si>
  <si>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</si>
  <si>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</si>
  <si>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</si>
  <si>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</si>
  <si>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</si>
  <si>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</si>
  <si>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</si>
  <si>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</si>
  <si>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</si>
  <si>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</si>
  <si>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</si>
  <si>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</si>
  <si>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</si>
  <si>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</si>
  <si>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</si>
  <si>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</si>
  <si>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</si>
  <si>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</si>
  <si>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</si>
  <si>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</si>
  <si>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</si>
  <si>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</si>
  <si>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</si>
  <si>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</si>
  <si>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</si>
  <si>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</si>
  <si>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</si>
  <si>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</si>
  <si>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</si>
  <si>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</si>
  <si>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</si>
  <si>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</si>
  <si>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</si>
  <si>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</si>
  <si>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</si>
  <si>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</si>
  <si>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</si>
  <si>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</si>
  <si>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</si>
  <si>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</si>
  <si>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</si>
  <si>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</si>
  <si>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</si>
  <si>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</si>
  <si>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</si>
  <si>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</si>
  <si>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</si>
  <si>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</si>
  <si>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</si>
  <si>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</si>
  <si>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</si>
  <si>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</si>
  <si>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</si>
  <si>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</si>
  <si>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</si>
  <si>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</si>
  <si>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</si>
  <si>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</si>
  <si>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</si>
  <si>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</si>
  <si>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</si>
  <si>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</si>
  <si>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</si>
  <si>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</si>
  <si>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</si>
  <si>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</si>
  <si>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</si>
  <si>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</si>
  <si>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</si>
  <si>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</si>
  <si>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</si>
  <si>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</si>
  <si>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</si>
  <si>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</si>
  <si>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</si>
  <si>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</si>
  <si>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</si>
  <si>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</si>
  <si>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</si>
  <si>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</si>
  <si>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</si>
  <si>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</si>
  <si>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</si>
  <si>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</si>
  <si>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</si>
  <si>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</si>
  <si>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</si>
  <si>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</si>
  <si>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</si>
  <si>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</si>
  <si>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</si>
  <si>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</si>
  <si>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</si>
  <si>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</si>
  <si>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</si>
  <si>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</si>
  <si>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</si>
  <si>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</si>
  <si>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</si>
  <si>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</si>
  <si>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</si>
  <si>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</si>
  <si>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</si>
  <si>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</si>
  <si>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</si>
  <si>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</si>
  <si>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</si>
  <si>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</si>
  <si>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</si>
  <si>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</si>
  <si>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</si>
  <si>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</si>
  <si>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</si>
  <si>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</si>
  <si>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</si>
  <si>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</si>
  <si>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</si>
  <si>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</si>
  <si>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</si>
  <si>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</si>
  <si>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</si>
  <si>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</si>
  <si>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</si>
  <si>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</si>
  <si>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</si>
  <si>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</si>
  <si>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</si>
  <si>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</si>
  <si>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</si>
  <si>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</si>
  <si>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</si>
  <si>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</si>
  <si>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</si>
  <si>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</si>
  <si>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</si>
  <si>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</si>
  <si>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</si>
  <si>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</si>
  <si>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</si>
  <si>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</si>
  <si>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</si>
  <si>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</si>
  <si>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</si>
  <si>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</si>
  <si>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</si>
  <si>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</si>
  <si>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</si>
  <si>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</si>
  <si>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</si>
  <si>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</si>
  <si>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</si>
  <si>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</si>
  <si>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</si>
  <si>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</si>
  <si>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</si>
  <si>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</si>
  <si>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</si>
  <si>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</si>
  <si>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</si>
  <si>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</si>
  <si>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</si>
  <si>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</si>
  <si>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</si>
  <si>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</si>
  <si>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</si>
  <si>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</si>
  <si>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</si>
  <si>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</si>
  <si>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</si>
  <si>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</si>
  <si>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</si>
  <si>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</si>
  <si>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</si>
  <si>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</si>
  <si>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</si>
  <si>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</si>
  <si>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</si>
  <si>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</si>
  <si>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</si>
  <si>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</si>
  <si>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</si>
  <si>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</si>
  <si>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</si>
  <si>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</si>
  <si>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</si>
  <si>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</si>
  <si>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</si>
  <si>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</si>
  <si>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</si>
  <si>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</si>
  <si>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</si>
  <si>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</si>
  <si>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</si>
  <si>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</si>
  <si>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</si>
  <si>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</si>
  <si>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</si>
  <si>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</si>
  <si>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</si>
  <si>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</si>
  <si>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</si>
  <si>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</si>
  <si>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</si>
  <si>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</si>
  <si>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</si>
  <si>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</si>
  <si>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</si>
  <si>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</si>
  <si>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</si>
  <si>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</si>
  <si>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</si>
  <si>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</si>
  <si>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</si>
  <si>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</si>
  <si>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</si>
  <si>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</si>
  <si>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</si>
  <si>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</si>
  <si>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</si>
  <si>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</si>
  <si>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</si>
  <si>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</si>
  <si>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</si>
  <si>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</si>
  <si>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</si>
  <si>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</si>
  <si>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</si>
  <si>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</si>
  <si>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</si>
  <si>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</si>
  <si>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</si>
  <si>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</si>
  <si>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</si>
  <si>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</si>
  <si>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</si>
  <si>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</si>
  <si>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</si>
  <si>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</si>
  <si>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</si>
  <si>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</si>
  <si>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</si>
  <si>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</si>
  <si>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</si>
  <si>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</si>
  <si>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</si>
  <si>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</si>
  <si>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</si>
  <si>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</si>
  <si>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</si>
  <si>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</si>
  <si>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</si>
  <si>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</si>
  <si>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</si>
  <si>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</si>
  <si>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</si>
  <si>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</si>
  <si>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</si>
  <si>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</si>
  <si>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</si>
  <si>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</si>
  <si>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</si>
  <si>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</si>
  <si>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</si>
  <si>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</si>
  <si>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</si>
  <si>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</si>
  <si>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</si>
  <si>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</si>
  <si>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</si>
  <si>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</si>
  <si>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</si>
  <si>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</si>
  <si>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</si>
  <si>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</si>
  <si>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</si>
  <si>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</si>
  <si>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</si>
  <si>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</si>
  <si>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</si>
  <si>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</si>
  <si>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</si>
  <si>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</si>
  <si>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</si>
  <si>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</si>
  <si>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</si>
  <si>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</si>
  <si>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</si>
  <si>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</si>
  <si>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</si>
  <si>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</si>
  <si>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</si>
  <si>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</si>
  <si>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</si>
  <si>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</si>
  <si>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</si>
  <si>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</si>
  <si>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</si>
  <si>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</si>
  <si>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</si>
  <si>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</si>
  <si>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</si>
  <si>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</si>
  <si>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</si>
  <si>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</si>
  <si>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</si>
  <si>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</si>
  <si>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</si>
  <si>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</si>
  <si>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</si>
  <si>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</si>
  <si>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</si>
  <si>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</si>
  <si>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</si>
  <si>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</si>
  <si>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</si>
  <si>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</si>
  <si>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</si>
  <si>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</si>
  <si>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</si>
  <si>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</si>
  <si>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</si>
  <si>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</si>
  <si>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</si>
  <si>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</si>
  <si>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</si>
  <si>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</si>
  <si>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</si>
  <si>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</si>
  <si>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</si>
  <si>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</si>
  <si>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</si>
  <si>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</si>
  <si>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</si>
  <si>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</si>
  <si>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</si>
  <si>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</si>
  <si>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</si>
  <si>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</si>
  <si>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</si>
  <si>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</si>
  <si>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</si>
  <si>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</si>
  <si>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</si>
  <si>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</si>
  <si>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</si>
  <si>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</si>
  <si>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</si>
  <si>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</si>
  <si>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</si>
  <si>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</si>
  <si>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</si>
  <si>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</si>
  <si>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</si>
  <si>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</si>
  <si>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</si>
  <si>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</si>
  <si>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</si>
  <si>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</si>
  <si>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</si>
  <si>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</si>
  <si>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</si>
  <si>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</si>
  <si>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</si>
  <si>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</si>
  <si>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</si>
  <si>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</si>
  <si>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</si>
  <si>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</si>
  <si>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</si>
  <si>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</si>
  <si>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</si>
  <si>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</si>
  <si>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</si>
  <si>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</si>
  <si>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</si>
  <si>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</si>
  <si>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</si>
  <si>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</si>
  <si>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</si>
  <si>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</si>
  <si>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</si>
  <si>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</si>
  <si>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</si>
  <si>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</si>
  <si>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</si>
  <si>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</si>
  <si>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</si>
  <si>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</si>
  <si>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</si>
  <si>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</si>
  <si>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</si>
  <si>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</si>
  <si>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</si>
  <si>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</si>
  <si>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</si>
  <si>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</si>
  <si>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</si>
  <si>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</si>
  <si>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</si>
  <si>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</si>
  <si>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</si>
  <si>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</si>
  <si>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</si>
  <si>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</si>
  <si>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</si>
  <si>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</si>
  <si>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</si>
  <si>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</si>
  <si>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</si>
  <si>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</si>
  <si>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</si>
  <si>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</si>
  <si>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</si>
  <si>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</si>
  <si>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</si>
  <si>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</si>
  <si>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</si>
  <si>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</si>
  <si>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</si>
  <si>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</si>
  <si>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</si>
  <si>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</si>
  <si>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</si>
  <si>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</si>
  <si>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</si>
  <si>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</si>
  <si>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</si>
  <si>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</si>
  <si>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</si>
  <si>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</si>
  <si>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</si>
  <si>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</si>
  <si>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</si>
  <si>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</si>
  <si>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</si>
  <si>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</si>
  <si>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</si>
  <si>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</si>
  <si>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</si>
  <si>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</si>
  <si>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</si>
  <si>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</si>
  <si>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</si>
  <si>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</si>
  <si>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</si>
  <si>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</si>
  <si>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</si>
  <si>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</si>
  <si>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</si>
  <si>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</si>
  <si>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</si>
  <si>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</si>
  <si>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</si>
  <si>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</si>
  <si>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</si>
  <si>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</si>
  <si>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</si>
  <si>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</si>
  <si>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</si>
  <si>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</si>
  <si>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</si>
  <si>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</si>
  <si>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</si>
  <si>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</si>
  <si>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</si>
  <si>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</si>
  <si>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</si>
  <si>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</si>
  <si>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</si>
  <si>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</si>
  <si>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</si>
  <si>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</si>
  <si>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</si>
  <si>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</si>
  <si>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</si>
  <si>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</si>
  <si>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</si>
  <si>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</si>
  <si>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https://portal.eias.ru/Portal/DownloadPage.aspx?type=12&amp;guid=ff5ef654-9518-468c-ad56-892eb9b93493</t>
  </si>
  <si>
    <t>Форма заявки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</si>
  <si>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</si>
  <si>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Приказ от 13.05.2020 № 161 "Об утверждении регламента КГУП "Примтеплоэнерго" заключения и исполнения Договоров на подключение к системе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</si>
  <si>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</si>
  <si>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</si>
  <si>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</si>
  <si>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</si>
  <si>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</si>
  <si>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</si>
  <si>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</si>
  <si>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</si>
  <si>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</si>
  <si>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</si>
  <si>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</si>
  <si>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</si>
  <si>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</si>
  <si>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</si>
  <si>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</si>
  <si>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</si>
  <si>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</si>
  <si>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</si>
  <si>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</si>
  <si>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</si>
  <si>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</si>
  <si>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</si>
  <si>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</si>
  <si>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</si>
  <si>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</si>
  <si>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</si>
  <si>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</si>
  <si>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</si>
  <si>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</si>
  <si>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</si>
  <si>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</si>
  <si>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</si>
  <si>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</si>
  <si>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</si>
  <si>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</si>
  <si>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</si>
  <si>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</si>
  <si>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</si>
  <si>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</si>
  <si>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</si>
  <si>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</si>
  <si>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</si>
  <si>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</si>
  <si>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</si>
  <si>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</si>
  <si>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</si>
  <si>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</si>
  <si>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</si>
  <si>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</si>
  <si>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</si>
  <si>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</si>
  <si>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</si>
  <si>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</si>
  <si>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</si>
  <si>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</si>
  <si>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</si>
  <si>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</si>
  <si>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</si>
  <si>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</si>
  <si>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</si>
  <si>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</si>
  <si>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</si>
  <si>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</si>
  <si>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</si>
  <si>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</si>
  <si>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</si>
  <si>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</si>
  <si>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</si>
  <si>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</si>
  <si>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</si>
  <si>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</si>
  <si>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</si>
  <si>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</si>
  <si>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</si>
  <si>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</si>
  <si>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</si>
  <si>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</si>
  <si>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</si>
  <si>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</si>
  <si>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</si>
  <si>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</si>
  <si>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</si>
  <si>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</si>
  <si>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</si>
  <si>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</si>
  <si>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</si>
  <si>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</si>
  <si>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</si>
  <si>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</si>
  <si>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</si>
  <si>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</si>
  <si>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</si>
  <si>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</si>
  <si>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</si>
  <si>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</si>
  <si>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</si>
  <si>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</si>
  <si>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</si>
  <si>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</si>
  <si>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</si>
  <si>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</si>
  <si>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</si>
  <si>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</si>
  <si>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</si>
  <si>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</si>
  <si>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</si>
  <si>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</si>
  <si>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</si>
  <si>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</si>
  <si>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</si>
  <si>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</si>
  <si>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</si>
  <si>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</si>
  <si>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</si>
  <si>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</si>
  <si>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</si>
  <si>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</si>
  <si>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</si>
  <si>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</si>
  <si>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</si>
  <si>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</si>
  <si>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</si>
  <si>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</si>
  <si>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</si>
  <si>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</si>
  <si>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</si>
  <si>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</si>
  <si>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</si>
  <si>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</si>
  <si>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</si>
  <si>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</si>
  <si>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</si>
  <si>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</si>
  <si>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</si>
  <si>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</si>
  <si>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</si>
  <si>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</si>
  <si>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</si>
  <si>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</si>
  <si>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</si>
  <si>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</si>
  <si>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</si>
  <si>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</si>
  <si>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</si>
  <si>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</si>
  <si>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</si>
  <si>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</si>
  <si>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</si>
  <si>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</si>
  <si>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</si>
  <si>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</si>
  <si>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</si>
  <si>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</si>
  <si>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</si>
  <si>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</si>
  <si>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</si>
  <si>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</si>
  <si>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</si>
  <si>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</si>
  <si>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</si>
  <si>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</si>
  <si>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</si>
  <si>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</si>
  <si>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</si>
  <si>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</si>
  <si>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</si>
  <si>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</si>
  <si>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</si>
  <si>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</si>
  <si>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</si>
  <si>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</si>
  <si>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</si>
  <si>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</si>
  <si>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</si>
  <si>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</si>
  <si>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</si>
  <si>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</si>
  <si>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</si>
  <si>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</si>
  <si>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</si>
  <si>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</si>
  <si>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</si>
  <si>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</si>
  <si>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</si>
  <si>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</si>
  <si>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</si>
  <si>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</si>
  <si>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</si>
  <si>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</si>
  <si>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</si>
  <si>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</si>
  <si>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</si>
  <si>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</si>
  <si>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</si>
  <si>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</si>
  <si>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</si>
  <si>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</si>
  <si>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</si>
  <si>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</si>
  <si>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</si>
  <si>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</si>
  <si>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</si>
  <si>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</si>
  <si>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</si>
  <si>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</si>
  <si>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</si>
  <si>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</si>
  <si>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</si>
  <si>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</si>
  <si>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</si>
  <si>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</si>
  <si>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</si>
  <si>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</si>
  <si>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</si>
  <si>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</si>
  <si>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</si>
  <si>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</si>
  <si>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</si>
  <si>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</si>
  <si>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</si>
  <si>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</si>
  <si>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</si>
  <si>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</si>
  <si>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</si>
  <si>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</si>
  <si>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</si>
  <si>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</si>
  <si>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</si>
  <si>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</si>
  <si>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</si>
  <si>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</si>
  <si>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</si>
  <si>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</si>
  <si>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</si>
  <si>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</si>
  <si>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</si>
  <si>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</si>
  <si>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</si>
  <si>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</si>
  <si>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</si>
  <si>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</si>
  <si>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</si>
  <si>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</si>
  <si>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</si>
  <si>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</si>
  <si>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</si>
  <si>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</si>
  <si>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</si>
  <si>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</si>
  <si>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</si>
  <si>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</si>
  <si>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</si>
  <si>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</si>
  <si>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</si>
  <si>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</si>
  <si>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</si>
  <si>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</si>
  <si>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</si>
  <si>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</si>
  <si>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</si>
  <si>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</si>
  <si>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</si>
  <si>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</si>
  <si>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</si>
  <si>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</si>
  <si>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</si>
  <si>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</si>
  <si>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</si>
  <si>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</si>
  <si>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</si>
  <si>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</si>
  <si>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</si>
  <si>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</si>
  <si>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</si>
  <si>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</si>
  <si>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</si>
  <si>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</si>
  <si>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</si>
  <si>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</si>
  <si>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</si>
  <si>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</si>
  <si>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</si>
  <si>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</si>
  <si>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</si>
  <si>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</si>
  <si>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</si>
  <si>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</si>
  <si>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</si>
  <si>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</si>
  <si>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</si>
  <si>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</si>
  <si>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</si>
  <si>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</si>
  <si>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</si>
  <si>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</si>
  <si>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</si>
  <si>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</si>
  <si>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</si>
  <si>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</si>
  <si>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</si>
  <si>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</si>
  <si>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</si>
  <si>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</si>
  <si>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</si>
  <si>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</si>
  <si>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</si>
  <si>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</si>
  <si>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</si>
  <si>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</si>
  <si>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</si>
  <si>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</si>
  <si>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</si>
  <si>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</si>
  <si>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</si>
  <si>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</si>
  <si>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</si>
  <si>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</si>
  <si>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</si>
  <si>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</si>
  <si>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</si>
  <si>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</si>
  <si>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</si>
  <si>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</si>
  <si>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</si>
  <si>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</si>
  <si>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</si>
  <si>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</si>
  <si>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</si>
  <si>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</si>
  <si>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</si>
  <si>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</si>
  <si>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</si>
  <si>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</si>
  <si>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</si>
  <si>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</si>
  <si>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</si>
  <si>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</si>
  <si>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</si>
  <si>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</si>
  <si>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</si>
  <si>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</si>
  <si>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</si>
  <si>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</si>
  <si>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</si>
  <si>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</si>
  <si>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</si>
  <si>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</si>
  <si>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</si>
  <si>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</si>
  <si>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</si>
  <si>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</si>
  <si>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</si>
  <si>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</si>
  <si>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</si>
  <si>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</si>
  <si>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</si>
  <si>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</si>
  <si>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</si>
  <si>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</si>
  <si>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</si>
  <si>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</si>
  <si>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</si>
  <si>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</si>
  <si>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</si>
  <si>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</si>
  <si>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</si>
  <si>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</si>
  <si>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</si>
  <si>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</si>
  <si>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</si>
  <si>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</si>
  <si>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</si>
  <si>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</si>
  <si>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</si>
  <si>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</si>
  <si>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</si>
  <si>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</si>
  <si>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</si>
  <si>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</si>
  <si>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</si>
  <si>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</si>
  <si>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</si>
  <si>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</si>
  <si>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</si>
  <si>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</si>
  <si>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</si>
  <si>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</si>
  <si>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</si>
  <si>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</si>
  <si>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</si>
  <si>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</si>
  <si>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</si>
  <si>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</si>
  <si>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</si>
  <si>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</si>
  <si>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</si>
  <si>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</si>
  <si>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</si>
  <si>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</si>
  <si>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</si>
  <si>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</si>
  <si>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</si>
  <si>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</si>
  <si>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</si>
  <si>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</si>
  <si>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</si>
  <si>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</si>
  <si>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</si>
  <si>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</si>
  <si>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</si>
  <si>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</si>
  <si>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</si>
  <si>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</si>
  <si>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</si>
  <si>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</si>
  <si>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</si>
  <si>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</si>
  <si>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</si>
  <si>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</si>
  <si>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</si>
  <si>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</si>
  <si>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</si>
  <si>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</si>
  <si>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</si>
  <si>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</si>
  <si>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</si>
  <si>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</si>
  <si>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</si>
  <si>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</si>
  <si>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</si>
  <si>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</si>
  <si>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</si>
  <si>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</si>
  <si>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</si>
  <si>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</si>
  <si>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</si>
  <si>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</si>
  <si>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</si>
  <si>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</si>
  <si>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</si>
  <si>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</si>
  <si>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</si>
  <si>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</si>
  <si>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</si>
  <si>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</si>
  <si>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</si>
  <si>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</si>
  <si>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</si>
  <si>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</si>
  <si>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</si>
  <si>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</si>
  <si>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</si>
  <si>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</si>
  <si>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</si>
  <si>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</si>
  <si>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</si>
  <si>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</si>
  <si>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</si>
  <si>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</si>
  <si>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</si>
  <si>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</si>
  <si>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</si>
  <si>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</si>
  <si>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</si>
  <si>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</si>
  <si>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</si>
  <si>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</si>
  <si>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</si>
  <si>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</si>
  <si>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</si>
  <si>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</si>
  <si>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</si>
  <si>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</si>
  <si>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</si>
  <si>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</si>
  <si>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</si>
  <si>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</si>
  <si>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</si>
  <si>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</si>
  <si>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</si>
  <si>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</si>
  <si>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</si>
  <si>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</si>
  <si>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</si>
  <si>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</si>
  <si>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</si>
  <si>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</si>
  <si>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</si>
  <si>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</si>
  <si>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</si>
  <si>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</si>
  <si>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</si>
  <si>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</si>
  <si>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</si>
  <si>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</si>
  <si>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</si>
  <si>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</si>
  <si>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</si>
  <si>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</si>
  <si>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</si>
  <si>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</si>
  <si>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</si>
  <si>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</si>
  <si>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</si>
  <si>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</si>
  <si>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</si>
  <si>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</si>
  <si>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</si>
  <si>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</si>
  <si>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</si>
  <si>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</si>
  <si>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</si>
  <si>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</si>
  <si>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</si>
  <si>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</si>
  <si>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</si>
  <si>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</si>
  <si>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</si>
  <si>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</si>
  <si>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</si>
  <si>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</si>
  <si>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</si>
  <si>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</si>
  <si>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</si>
  <si>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</si>
  <si>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</si>
  <si>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</si>
  <si>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</si>
  <si>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</si>
  <si>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</si>
  <si>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</si>
  <si>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</si>
  <si>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</si>
  <si>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</si>
  <si>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</si>
  <si>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</si>
  <si>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</si>
  <si>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</si>
  <si>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</si>
  <si>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5111111111111111</t>
  </si>
  <si>
    <t>начинать только с 2, остальное по умолчанию</t>
  </si>
  <si>
    <t>54</t>
  </si>
  <si>
    <t>Республика Калмыкия</t>
  </si>
  <si>
    <t>DIFFERENTIATION_ID</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</si>
  <si>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</si>
  <si>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</si>
  <si>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</si>
  <si>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</si>
  <si>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</si>
  <si>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</si>
  <si>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</si>
  <si>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</si>
  <si>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</si>
  <si>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</si>
  <si>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</si>
  <si>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</si>
  <si>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</si>
  <si>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</si>
  <si>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</si>
  <si>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</si>
  <si>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</si>
  <si>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</si>
  <si>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</si>
  <si>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</si>
  <si>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</si>
  <si>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</si>
  <si>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</si>
  <si>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</si>
  <si>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</si>
  <si>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</si>
  <si>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</si>
  <si>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</si>
  <si>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</si>
  <si>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</si>
  <si>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</si>
  <si>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</si>
  <si>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</si>
  <si>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</si>
  <si>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</si>
  <si>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</si>
  <si>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</si>
  <si>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</si>
  <si>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</si>
  <si>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</si>
  <si>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</si>
  <si>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</si>
  <si>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</si>
  <si>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</si>
  <si>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</si>
  <si>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</si>
  <si>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</si>
  <si>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</si>
  <si>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</si>
  <si>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</si>
  <si>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</si>
  <si>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</si>
  <si>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</si>
  <si>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</si>
  <si>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</si>
  <si>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</si>
  <si>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</si>
  <si>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</si>
  <si>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</si>
  <si>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</si>
  <si>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</si>
  <si>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</si>
  <si>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</si>
  <si>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</si>
  <si>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</si>
  <si>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</si>
  <si>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</si>
  <si>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</si>
  <si>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</si>
  <si>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</si>
  <si>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</si>
  <si>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</si>
  <si>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</si>
  <si>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</si>
  <si>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</si>
  <si>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</si>
  <si>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</si>
  <si>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</si>
  <si>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</si>
  <si>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</si>
  <si>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</si>
  <si>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</si>
  <si>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</si>
  <si>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</si>
  <si>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</si>
  <si>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</si>
  <si>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</si>
  <si>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</si>
  <si>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</si>
  <si>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</si>
  <si>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</si>
  <si>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</si>
  <si>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</si>
  <si>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</si>
  <si>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</si>
  <si>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</si>
  <si>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</si>
  <si>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</si>
  <si>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</si>
  <si>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</si>
  <si>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</si>
  <si>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</si>
  <si>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</si>
  <si>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</si>
  <si>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</si>
  <si>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</si>
  <si>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</si>
  <si>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</si>
  <si>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</si>
  <si>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</si>
  <si>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</si>
  <si>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</si>
  <si>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</si>
  <si>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</si>
  <si>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</si>
  <si>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</si>
  <si>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</si>
  <si>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</si>
  <si>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</si>
  <si>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</si>
  <si>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</si>
  <si>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</si>
  <si>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</si>
  <si>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</si>
  <si>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</si>
  <si>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</si>
  <si>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</si>
  <si>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</si>
  <si>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</si>
  <si>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</si>
  <si>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</si>
  <si>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</si>
  <si>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</si>
  <si>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</si>
  <si>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</si>
  <si>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</si>
  <si>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</si>
  <si>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</si>
  <si>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</si>
  <si>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</si>
  <si>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</si>
  <si>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</si>
  <si>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</si>
  <si>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</si>
  <si>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</si>
  <si>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</si>
  <si>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</si>
  <si>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</si>
  <si>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</si>
  <si>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</si>
  <si>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</si>
  <si>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</si>
  <si>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</si>
  <si>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</si>
  <si>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</si>
  <si>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</si>
  <si>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</si>
  <si>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</si>
  <si>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</si>
  <si>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</si>
  <si>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</si>
  <si>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</si>
  <si>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</si>
  <si>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</si>
  <si>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</si>
  <si>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</si>
  <si>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</si>
  <si>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</si>
  <si>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</si>
  <si>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</si>
  <si>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</si>
  <si>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</si>
  <si>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</si>
  <si>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</si>
  <si>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</si>
  <si>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</si>
  <si>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</si>
  <si>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</si>
  <si>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</si>
  <si>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</si>
  <si>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</si>
  <si>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</si>
  <si>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</si>
  <si>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</si>
  <si>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</si>
  <si>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</si>
  <si>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</si>
  <si>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</si>
  <si>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</si>
  <si>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</si>
  <si>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</si>
  <si>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</si>
  <si>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</si>
  <si>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</si>
  <si>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</si>
  <si>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</si>
  <si>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</si>
  <si>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</si>
  <si>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</si>
  <si>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</si>
  <si>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</si>
  <si>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</si>
  <si>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</si>
  <si>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</si>
  <si>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</si>
  <si>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Внести изменения в приложение №12 "Плата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на территории пгт. Ярославский, Хорольского МО при наличии технической возможности подключения на 2025 год" к постановлению агентства по тарифам ПК от 12.03.2025 №10/2 "Об установлении платы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КГУП "Примтеплоэнерго" при наличии технической возможности подключения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</si>
  <si>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</si>
  <si>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</si>
  <si>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</si>
  <si>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</si>
  <si>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</si>
  <si>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</si>
  <si>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</si>
  <si>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</si>
  <si>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</si>
  <si>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</si>
  <si>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</si>
  <si>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</si>
  <si>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</si>
  <si>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</si>
  <si>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</si>
  <si>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</si>
  <si>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</si>
  <si>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</si>
  <si>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</si>
  <si>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</si>
  <si>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</si>
  <si>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</si>
  <si>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</si>
  <si>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</si>
  <si>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</si>
  <si>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</si>
  <si>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</si>
  <si>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</si>
  <si>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</si>
  <si>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</si>
  <si>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</si>
  <si>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</si>
  <si>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</si>
  <si>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</si>
  <si>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</si>
  <si>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</si>
  <si>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</si>
  <si>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</si>
  <si>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</si>
  <si>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</si>
  <si>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</si>
  <si>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</si>
  <si>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</si>
  <si>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</si>
  <si>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</si>
  <si>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</si>
  <si>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</si>
  <si>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</si>
  <si>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</si>
  <si>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</si>
  <si>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</si>
  <si>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</si>
  <si>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</si>
  <si>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</si>
  <si>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</si>
  <si>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</si>
  <si>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</si>
  <si>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</si>
  <si>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</si>
  <si>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</si>
  <si>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</si>
  <si>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</si>
  <si>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</si>
  <si>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</si>
  <si>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</si>
  <si>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</si>
  <si>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</si>
  <si>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</si>
  <si>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</si>
  <si>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</si>
  <si>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</si>
  <si>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</si>
  <si>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</si>
  <si>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</si>
  <si>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</si>
  <si>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</si>
  <si>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</si>
  <si>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</si>
  <si>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</si>
  <si>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</si>
  <si>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</si>
  <si>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</si>
  <si>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</si>
  <si>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</si>
  <si>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</si>
  <si>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</si>
  <si>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</si>
  <si>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</si>
  <si>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</si>
  <si>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</si>
  <si>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</si>
  <si>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</si>
  <si>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</si>
  <si>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</si>
  <si>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</si>
  <si>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</si>
  <si>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</si>
  <si>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</si>
  <si>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</si>
  <si>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</si>
  <si>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</si>
  <si>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</si>
  <si>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</si>
  <si>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</si>
  <si>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</si>
  <si>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</si>
  <si>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</si>
  <si>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</si>
  <si>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</si>
  <si>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</si>
  <si>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</si>
  <si>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</si>
  <si>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</si>
  <si>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</si>
  <si>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</si>
  <si>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</si>
  <si>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</si>
  <si>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</si>
  <si>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</si>
  <si>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</si>
  <si>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</si>
  <si>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</si>
  <si>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</si>
  <si>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</si>
  <si>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</si>
  <si>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</si>
  <si>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</si>
  <si>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</si>
  <si>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</si>
  <si>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</si>
  <si>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</si>
  <si>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</si>
  <si>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</si>
  <si>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</si>
  <si>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</si>
  <si>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</si>
  <si>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</si>
  <si>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</si>
  <si>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</si>
  <si>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</si>
  <si>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</si>
  <si>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</si>
  <si>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</si>
  <si>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</si>
  <si>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</si>
  <si>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</si>
  <si>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</si>
  <si>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</si>
  <si>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</si>
  <si>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</si>
  <si>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</si>
  <si>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</si>
  <si>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</si>
  <si>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</si>
  <si>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</si>
  <si>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</si>
  <si>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</si>
  <si>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</si>
  <si>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</si>
  <si>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</si>
  <si>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</si>
  <si>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</si>
  <si>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</si>
  <si>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</si>
  <si>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</si>
  <si>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</si>
  <si>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</si>
  <si>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</si>
  <si>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</si>
  <si>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</si>
  <si>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</si>
  <si>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</si>
  <si>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</si>
  <si>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</si>
  <si>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</si>
  <si>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</si>
  <si>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</si>
  <si>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</si>
  <si>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</si>
  <si>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</si>
  <si>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</si>
  <si>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</si>
  <si>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</si>
  <si>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</si>
  <si>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</si>
  <si>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</si>
  <si>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</si>
  <si>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</si>
  <si>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</si>
  <si>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</si>
  <si>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</si>
  <si>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</si>
  <si>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</si>
  <si>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</si>
  <si>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</si>
  <si>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</si>
  <si>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</si>
  <si>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</si>
  <si>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</si>
  <si>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</si>
  <si>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</si>
  <si>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</si>
  <si>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</si>
  <si>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</si>
  <si>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</si>
  <si>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</si>
  <si>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</si>
  <si>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</si>
  <si>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</si>
  <si>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</si>
  <si>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</si>
  <si>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</si>
  <si>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</si>
  <si>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</si>
  <si>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</si>
  <si>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</si>
  <si>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</si>
  <si>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</si>
  <si>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</si>
  <si>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</si>
  <si>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</si>
  <si>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</si>
  <si>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</si>
  <si>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</si>
  <si>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</si>
  <si>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</si>
  <si>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</si>
  <si>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</si>
  <si>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</si>
  <si>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</si>
  <si>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</si>
  <si>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</si>
  <si>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</si>
  <si>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</si>
  <si>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</si>
  <si>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</si>
  <si>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</si>
  <si>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</si>
  <si>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</si>
  <si>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</si>
  <si>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</si>
  <si>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</si>
  <si>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</si>
  <si>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</si>
  <si>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</si>
  <si>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</si>
  <si>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</si>
  <si>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</si>
  <si>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</si>
  <si>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</si>
  <si>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</si>
  <si>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</si>
  <si>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</si>
  <si>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</si>
  <si>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</si>
  <si>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</si>
  <si>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</si>
  <si>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</si>
  <si>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</si>
  <si>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</si>
  <si>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</si>
  <si>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</si>
  <si>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</si>
  <si>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</si>
  <si>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</si>
  <si>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</si>
  <si>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</si>
  <si>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</si>
  <si>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</si>
  <si>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</si>
  <si>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</si>
  <si>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</si>
  <si>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</si>
  <si>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</si>
  <si>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</si>
  <si>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</si>
  <si>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</si>
  <si>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</si>
  <si>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</si>
  <si>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</si>
  <si>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</si>
  <si>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</si>
  <si>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</si>
  <si>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</si>
  <si>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</si>
  <si>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</si>
  <si>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</si>
  <si>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</si>
  <si>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</si>
  <si>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</si>
  <si>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</si>
  <si>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</si>
  <si>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</si>
  <si>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</si>
  <si>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</si>
  <si>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</si>
  <si>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</si>
  <si>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</si>
  <si>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</si>
  <si>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</si>
  <si>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</si>
  <si>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</si>
  <si>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</si>
  <si>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</si>
  <si>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</si>
  <si>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</si>
  <si>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</si>
  <si>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</si>
  <si>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</si>
  <si>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</si>
  <si>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</si>
  <si>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</si>
  <si>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</si>
  <si>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</si>
  <si>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</si>
  <si>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</si>
  <si>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</si>
  <si>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</si>
  <si>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</si>
  <si>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</si>
  <si>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</si>
  <si>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</si>
  <si>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</si>
  <si>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</si>
  <si>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</si>
  <si>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</si>
  <si>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</si>
  <si>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</si>
  <si>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</si>
  <si>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</si>
  <si>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</si>
  <si>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</si>
  <si>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</si>
  <si>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</si>
  <si>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</si>
  <si>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</si>
  <si>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</si>
  <si>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</si>
  <si>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</si>
  <si>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</si>
  <si>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</si>
  <si>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</si>
  <si>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</si>
  <si>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</si>
  <si>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</si>
  <si>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</si>
  <si>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</si>
  <si>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</si>
  <si>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</si>
  <si>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</si>
  <si>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</si>
  <si>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</si>
  <si>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</si>
  <si>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</si>
  <si>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</si>
  <si>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</si>
  <si>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</si>
  <si>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</si>
  <si>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</si>
  <si>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</si>
  <si>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</si>
  <si>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</si>
  <si>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</si>
  <si>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</si>
  <si>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</si>
  <si>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</si>
  <si>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</si>
  <si>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</si>
  <si>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</si>
  <si>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</si>
  <si>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</si>
  <si>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</si>
  <si>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</si>
  <si>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</si>
  <si>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</si>
  <si>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</si>
  <si>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</si>
  <si>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</si>
  <si>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</si>
  <si>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</si>
  <si>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</si>
  <si>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</si>
  <si>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</si>
  <si>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</si>
  <si>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</si>
  <si>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</si>
  <si>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</si>
  <si>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</si>
  <si>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</si>
  <si>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</si>
  <si>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</si>
  <si>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</si>
  <si>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</si>
  <si>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</si>
  <si>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</si>
  <si>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</si>
  <si>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</si>
  <si>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</si>
  <si>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</si>
  <si>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</si>
  <si>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</si>
  <si>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</si>
  <si>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</si>
  <si>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</si>
  <si>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</si>
  <si>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</si>
  <si>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</si>
  <si>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</si>
  <si>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</si>
  <si>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</si>
  <si>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</si>
  <si>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</si>
  <si>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</si>
  <si>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</si>
  <si>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</si>
  <si>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</si>
  <si>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</si>
  <si>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</si>
  <si>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</si>
  <si>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</si>
  <si>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</si>
  <si>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</si>
  <si>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</si>
  <si>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</si>
  <si>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</si>
  <si>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</si>
  <si>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</si>
  <si>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</si>
  <si>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</si>
  <si>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</si>
  <si>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</si>
  <si>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</si>
  <si>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</si>
  <si>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</si>
  <si>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</si>
  <si>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</si>
  <si>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</si>
  <si>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</si>
  <si>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</si>
  <si>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</si>
  <si>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</si>
  <si>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</si>
  <si>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</si>
  <si>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</si>
  <si>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</si>
  <si>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</si>
  <si>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</si>
  <si>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</si>
  <si>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</si>
  <si>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</si>
  <si>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</si>
  <si>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</si>
  <si>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</si>
  <si>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</si>
  <si>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</si>
  <si>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</si>
  <si>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</si>
  <si>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</si>
  <si>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</si>
  <si>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</si>
  <si>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</si>
  <si>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</si>
  <si>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</si>
  <si>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</si>
  <si>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</si>
  <si>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</si>
  <si>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</si>
  <si>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</si>
  <si>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</si>
  <si>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</si>
  <si>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</si>
  <si>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</si>
  <si>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</si>
  <si>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</si>
  <si>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</si>
  <si>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</si>
  <si>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</si>
  <si>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</si>
  <si>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</si>
  <si>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</si>
  <si>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</si>
  <si>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</si>
  <si>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</si>
  <si>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</si>
  <si>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</si>
  <si>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</si>
  <si>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</si>
  <si>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</si>
  <si>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</si>
  <si>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</si>
  <si>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</si>
  <si>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</si>
  <si>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</si>
  <si>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</si>
  <si>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</si>
  <si>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</si>
  <si>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</si>
  <si>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</si>
  <si>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</si>
  <si>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</si>
  <si>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</si>
  <si>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</si>
  <si>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</si>
  <si>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</si>
  <si>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</si>
  <si>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</si>
  <si>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</si>
  <si>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</si>
  <si>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</si>
  <si>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</si>
  <si>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</si>
  <si>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</si>
  <si>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</si>
  <si>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</si>
  <si>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</si>
  <si>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</si>
  <si>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</si>
  <si>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</si>
  <si>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</si>
  <si>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</si>
  <si>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</si>
  <si>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</si>
  <si>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</si>
  <si>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</si>
  <si>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</si>
  <si>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</si>
  <si>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</si>
  <si>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</si>
  <si>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</si>
  <si>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</si>
  <si>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</si>
  <si>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</si>
  <si>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</si>
  <si>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</si>
  <si>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</si>
  <si>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</si>
  <si>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</si>
  <si>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</si>
  <si>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</si>
  <si>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</si>
  <si>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</si>
  <si>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</si>
  <si>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</si>
  <si>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</si>
  <si>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</si>
  <si>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</si>
  <si>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</si>
  <si>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</si>
  <si>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</si>
  <si>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</si>
  <si>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</si>
  <si>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</si>
  <si>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</si>
  <si>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</si>
  <si>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</si>
  <si>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</si>
  <si>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</si>
  <si>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</si>
  <si>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</si>
  <si>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</si>
  <si>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</si>
  <si>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</si>
  <si>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</si>
  <si>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</si>
  <si>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</si>
  <si>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</si>
  <si>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</si>
  <si>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</si>
  <si>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</si>
  <si>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</si>
  <si>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</si>
  <si>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</si>
  <si>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</si>
  <si>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</si>
  <si>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</si>
  <si>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</si>
  <si>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</si>
  <si>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</si>
  <si>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</si>
  <si>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</si>
  <si>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</si>
  <si>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</si>
  <si>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</si>
  <si>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</si>
  <si>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</si>
  <si>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</si>
  <si>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</si>
  <si>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</si>
  <si>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</si>
  <si>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</si>
  <si>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</si>
  <si>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</si>
  <si>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</si>
  <si>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</si>
  <si>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</si>
  <si>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</si>
  <si>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</si>
  <si>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</si>
  <si>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</si>
  <si>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</si>
  <si>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</si>
  <si>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</si>
  <si>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</si>
  <si>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</si>
  <si>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</si>
  <si>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</si>
  <si>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</si>
  <si>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</si>
  <si>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</si>
  <si>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</si>
  <si>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</si>
  <si>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</si>
  <si>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</si>
  <si>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</si>
  <si>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</si>
  <si>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</si>
  <si>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</si>
  <si>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</si>
  <si>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</si>
  <si>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</si>
  <si>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</si>
  <si>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</si>
  <si>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</si>
  <si>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</si>
  <si>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</si>
  <si>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</si>
  <si>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</si>
  <si>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</si>
  <si>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</si>
  <si>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</si>
  <si>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</si>
  <si>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</si>
  <si>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</si>
  <si>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</si>
  <si>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</si>
  <si>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</si>
  <si>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</si>
  <si>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</si>
  <si>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</si>
  <si>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</si>
  <si>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</si>
  <si>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</si>
  <si>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</si>
  <si>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</si>
  <si>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</si>
  <si>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</si>
  <si>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</si>
  <si>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</si>
  <si>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</si>
  <si>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</si>
  <si>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</si>
  <si>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</si>
  <si>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</si>
  <si>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</si>
  <si>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</si>
  <si>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</si>
  <si>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</si>
  <si>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</si>
  <si>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</si>
  <si>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</si>
  <si>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</si>
  <si>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</si>
  <si>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</si>
  <si>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</si>
  <si>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</si>
  <si>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</si>
  <si>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</si>
  <si>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</si>
  <si>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</si>
  <si>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</si>
  <si>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</si>
  <si>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</si>
  <si>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</si>
  <si>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</si>
  <si>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</si>
  <si>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</si>
  <si>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</si>
  <si>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</si>
  <si>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</si>
  <si>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</si>
  <si>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</si>
  <si>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</si>
  <si>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</si>
  <si>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</si>
  <si>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</si>
  <si>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</si>
  <si>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</si>
  <si>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</si>
  <si>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</si>
  <si>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</si>
  <si>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</si>
  <si>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</si>
  <si>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</si>
  <si>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</si>
  <si>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</si>
  <si>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</si>
  <si>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</si>
  <si>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</si>
  <si>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</si>
  <si>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</si>
  <si>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</si>
  <si>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</si>
  <si>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</si>
  <si>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</si>
  <si>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</si>
  <si>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</si>
  <si>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</si>
  <si>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</si>
  <si>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</si>
  <si>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</si>
  <si>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</si>
  <si>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</si>
  <si>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</si>
  <si>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</si>
  <si>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</si>
  <si>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</si>
  <si>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</si>
  <si>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</si>
  <si>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</si>
  <si>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</si>
  <si>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</si>
  <si>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</si>
  <si>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</si>
  <si>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</si>
  <si>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</si>
  <si>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</si>
  <si>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</si>
  <si>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</si>
  <si>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</si>
  <si>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</si>
  <si>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</si>
  <si>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</si>
  <si>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</si>
  <si>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</si>
  <si>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</si>
  <si>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</si>
  <si>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</si>
  <si>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</si>
  <si>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</si>
  <si>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</si>
  <si>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</si>
  <si>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</si>
  <si>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</si>
  <si>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</si>
  <si>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</si>
  <si>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</si>
  <si>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</si>
  <si>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</si>
  <si>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</si>
  <si>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</si>
  <si>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</si>
  <si>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</si>
  <si>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</si>
  <si>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</si>
  <si>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</si>
  <si>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</si>
  <si>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</si>
  <si>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</si>
  <si>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</si>
  <si>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</si>
  <si>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</si>
  <si>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</si>
  <si>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</si>
  <si>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</si>
  <si>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</si>
  <si>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</si>
  <si>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</si>
  <si>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</si>
  <si>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</si>
  <si>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</si>
  <si>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</si>
  <si>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</si>
  <si>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</si>
  <si>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</si>
  <si>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</si>
  <si>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</si>
  <si>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</si>
  <si>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</si>
  <si>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</si>
  <si>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</si>
  <si>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</si>
  <si>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</si>
  <si>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</si>
  <si>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</si>
  <si>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</si>
  <si>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</si>
  <si>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</si>
  <si>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</si>
  <si>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</si>
  <si>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</si>
  <si>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</si>
  <si>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</si>
  <si>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</si>
  <si>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</si>
  <si>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</si>
  <si>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</si>
  <si>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</si>
  <si>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</si>
  <si>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</si>
  <si>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</si>
  <si>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</si>
  <si>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</si>
  <si>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</si>
  <si>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</si>
  <si>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</si>
  <si>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</si>
  <si>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</si>
  <si>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</si>
  <si>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</si>
  <si>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</si>
  <si>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</si>
  <si>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</si>
  <si>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</si>
  <si>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</si>
  <si>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</si>
  <si>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</si>
  <si>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</si>
  <si>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</si>
  <si>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</si>
  <si>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</si>
  <si>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</si>
  <si>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</si>
  <si>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</si>
  <si>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</si>
  <si>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</si>
  <si>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</si>
  <si>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</si>
  <si>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</si>
  <si>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</si>
  <si>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</si>
  <si>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</si>
  <si>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</si>
  <si>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</si>
  <si>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</si>
  <si>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</si>
  <si>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</si>
  <si>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</si>
  <si>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</si>
  <si>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</si>
  <si>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</si>
  <si>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</si>
  <si>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</si>
  <si>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</si>
  <si>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</si>
  <si>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</si>
  <si>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</si>
  <si>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</si>
  <si>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</si>
  <si>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</si>
  <si>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</si>
  <si>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</si>
  <si>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</si>
  <si>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</si>
  <si>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</si>
  <si>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</si>
  <si>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</si>
  <si>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</si>
  <si>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</si>
  <si>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</si>
  <si>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</si>
  <si>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</si>
  <si>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</si>
  <si>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</si>
  <si>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</si>
  <si>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</si>
  <si>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</si>
  <si>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</si>
  <si>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</si>
  <si>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</si>
  <si>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</si>
  <si>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</si>
  <si>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</si>
  <si>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</si>
  <si>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</si>
  <si>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</si>
  <si>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</si>
  <si>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</si>
  <si>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</si>
  <si>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</si>
  <si>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</si>
  <si>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</si>
  <si>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</si>
  <si>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</si>
  <si>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</si>
  <si>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</si>
  <si>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</si>
  <si>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</si>
  <si>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</si>
  <si>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</si>
  <si>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</si>
  <si>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</si>
  <si>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</si>
  <si>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</si>
  <si>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</si>
  <si>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</si>
  <si>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</si>
  <si>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</si>
  <si>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</si>
  <si>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</si>
  <si>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</si>
  <si>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</si>
  <si>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</si>
  <si>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</si>
  <si>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</si>
  <si>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</si>
  <si>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</si>
  <si>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</si>
  <si>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</si>
  <si>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</si>
  <si>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</si>
  <si>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</si>
  <si>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</si>
  <si>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</si>
  <si>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</si>
  <si>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</si>
  <si>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</si>
  <si>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</si>
  <si>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</si>
  <si>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</si>
  <si>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</si>
  <si>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</si>
  <si>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</si>
  <si>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</si>
  <si>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</si>
  <si>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</si>
  <si>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</si>
  <si>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</si>
  <si>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</si>
  <si>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</si>
  <si>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</si>
  <si>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</si>
  <si>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</si>
  <si>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</si>
  <si>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</si>
  <si>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</si>
  <si>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</si>
  <si>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</si>
  <si>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</si>
  <si>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</si>
  <si>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</si>
  <si>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</si>
  <si>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</si>
  <si>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</si>
  <si>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</si>
  <si>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</si>
  <si>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</si>
  <si>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</si>
  <si>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</si>
  <si>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</si>
  <si>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</si>
  <si>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</si>
  <si>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</si>
  <si>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</si>
  <si>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</si>
  <si>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</si>
  <si>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</si>
  <si>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</si>
  <si>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</si>
  <si>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</si>
  <si>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</si>
  <si>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</si>
  <si>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</si>
  <si>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</si>
  <si>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</si>
  <si>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</si>
  <si>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</si>
  <si>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</si>
  <si>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</si>
  <si>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</si>
  <si>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</si>
  <si>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</si>
  <si>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</si>
  <si>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</si>
  <si>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</si>
  <si>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</si>
  <si>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</si>
  <si>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</si>
  <si>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</si>
  <si>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</si>
  <si>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</si>
  <si>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</si>
  <si>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</si>
  <si>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</si>
  <si>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</si>
  <si>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</si>
  <si>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</si>
  <si>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</si>
  <si>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</si>
  <si>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</si>
  <si>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</si>
  <si>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</si>
  <si>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</si>
  <si>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</si>
  <si>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</si>
  <si>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</si>
  <si>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</si>
  <si>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</si>
  <si>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</si>
  <si>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</si>
  <si>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</si>
  <si>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</si>
  <si>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</si>
  <si>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</si>
  <si>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</si>
  <si>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</si>
  <si>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</si>
  <si>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</si>
  <si>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</si>
  <si>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</si>
  <si>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</si>
  <si>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</si>
  <si>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</si>
  <si>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</si>
  <si>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</si>
  <si>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</si>
  <si>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</si>
  <si>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</si>
  <si>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</si>
  <si>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</si>
  <si>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</si>
  <si>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</si>
  <si>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</si>
  <si>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</si>
  <si>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</si>
  <si>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</si>
  <si>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</si>
  <si>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</si>
  <si>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</si>
  <si>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</si>
  <si>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</si>
  <si>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</si>
  <si>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</si>
  <si>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</si>
  <si>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</si>
  <si>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</si>
  <si>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</si>
  <si>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</si>
  <si>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</si>
  <si>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</si>
  <si>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</si>
  <si>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</si>
  <si>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</si>
  <si>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</si>
  <si>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</si>
  <si>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</si>
  <si>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</si>
  <si>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</si>
  <si>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</si>
  <si>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</si>
  <si>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</si>
  <si>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</si>
  <si>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</si>
  <si>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</si>
  <si>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</si>
  <si>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</si>
  <si>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</si>
  <si>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</si>
  <si>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</si>
  <si>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</si>
  <si>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</si>
  <si>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</si>
  <si>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</si>
  <si>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</si>
  <si>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</si>
  <si>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</si>
  <si>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</si>
  <si>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</si>
  <si>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</si>
  <si>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</si>
  <si>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</si>
  <si>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</si>
  <si>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</si>
  <si>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</si>
  <si>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</si>
  <si>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</si>
  <si>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</si>
  <si>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</si>
  <si>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</si>
  <si>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</si>
  <si>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</si>
  <si>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</si>
  <si>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</si>
  <si>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</si>
  <si>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</si>
  <si>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</si>
  <si>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</si>
  <si>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</si>
  <si>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</si>
  <si>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</si>
  <si>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</si>
  <si>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</si>
  <si>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</si>
  <si>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</si>
  <si>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</si>
  <si>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</si>
  <si>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</si>
  <si>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</si>
  <si>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</si>
  <si>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</si>
  <si>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</si>
  <si>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</si>
  <si>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</si>
  <si>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</si>
  <si>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</si>
  <si>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</si>
  <si>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</si>
  <si>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</si>
  <si>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</si>
  <si>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</si>
  <si>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</si>
  <si>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</si>
  <si>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</si>
  <si>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</si>
  <si>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</si>
  <si>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</si>
  <si>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</si>
  <si>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</si>
  <si>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</si>
  <si>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</si>
  <si>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</si>
  <si>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</si>
  <si>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</si>
  <si>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</si>
  <si>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</si>
  <si>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</si>
  <si>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</si>
  <si>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</si>
  <si>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</si>
  <si>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</si>
  <si>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</si>
  <si>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</si>
  <si>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</si>
  <si>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</si>
  <si>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</si>
  <si>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</si>
  <si>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</si>
  <si>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</si>
  <si>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</si>
  <si>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</si>
  <si>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</si>
  <si>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</si>
  <si>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</si>
  <si>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</si>
  <si>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</si>
  <si>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</si>
  <si>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</si>
  <si>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</si>
  <si>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</si>
  <si>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</si>
  <si>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</si>
  <si>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</si>
  <si>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</si>
  <si>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</si>
  <si>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</si>
  <si>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</si>
  <si>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</si>
  <si>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</si>
  <si>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</si>
  <si>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</si>
  <si>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</si>
  <si>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</si>
  <si>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</si>
  <si>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</si>
  <si>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</si>
  <si>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</si>
  <si>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</si>
  <si>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</si>
  <si>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</si>
  <si>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</si>
  <si>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</si>
  <si>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</si>
  <si>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</si>
  <si>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</si>
  <si>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</si>
  <si>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</si>
  <si>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</si>
  <si>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</si>
  <si>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</si>
  <si>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</si>
  <si>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</si>
  <si>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</si>
  <si>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</si>
  <si>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</si>
  <si>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</si>
  <si>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</si>
  <si>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</si>
  <si>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</si>
  <si>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</si>
  <si>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</si>
  <si>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</si>
  <si>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</si>
  <si>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</si>
  <si>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</si>
  <si>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</si>
  <si>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</si>
  <si>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</si>
  <si>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</si>
  <si>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</si>
  <si>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</si>
  <si>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</si>
  <si>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</si>
  <si>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</si>
  <si>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</si>
  <si>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</si>
  <si>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</si>
  <si>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</si>
  <si>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</si>
  <si>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</si>
  <si>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</si>
  <si>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</si>
  <si>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</si>
  <si>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</si>
  <si>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</si>
  <si>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</si>
  <si>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</si>
  <si>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</si>
  <si>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</si>
  <si>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</si>
  <si>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</si>
  <si>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</si>
  <si>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</si>
  <si>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</si>
  <si>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</si>
  <si>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</si>
  <si>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</si>
  <si>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</si>
  <si>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</si>
  <si>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</si>
  <si>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</si>
  <si>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</si>
  <si>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</si>
  <si>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</si>
  <si>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</si>
  <si>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</si>
  <si>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</si>
  <si>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</si>
  <si>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</si>
  <si>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</si>
  <si>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</si>
  <si>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</si>
  <si>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</si>
  <si>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</si>
  <si>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</si>
  <si>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</si>
  <si>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</si>
  <si>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</si>
  <si>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</si>
  <si>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</si>
  <si>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</si>
  <si>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</si>
  <si>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</si>
  <si>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</si>
  <si>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</si>
  <si>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</si>
  <si>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</si>
  <si>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</si>
  <si>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</si>
  <si>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</si>
  <si>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</si>
  <si>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</si>
  <si>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</si>
  <si>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</si>
  <si>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</si>
  <si>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</si>
  <si>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</si>
  <si>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</si>
  <si>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</si>
  <si>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</si>
  <si>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</si>
  <si>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</si>
  <si>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</si>
  <si>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</si>
  <si>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</si>
  <si>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</si>
  <si>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</si>
  <si>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</si>
  <si>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</si>
  <si>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</si>
  <si>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</si>
  <si>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</si>
  <si>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</si>
  <si>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</si>
  <si>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</si>
  <si>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</si>
  <si>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</si>
  <si>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</si>
  <si>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</si>
  <si>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</si>
  <si>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</si>
  <si>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</si>
  <si>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</si>
  <si>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</si>
  <si>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</si>
  <si>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</si>
  <si>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</si>
  <si>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</si>
  <si>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</si>
  <si>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</si>
  <si>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</si>
  <si>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муниципальный округ</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</si>
  <si>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</si>
  <si>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</si>
  <si>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</si>
  <si>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</si>
  <si>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</si>
  <si>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</si>
  <si>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</si>
  <si>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</si>
  <si>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</si>
  <si>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</si>
  <si>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</si>
  <si>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</si>
  <si>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</si>
  <si>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</si>
  <si>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</si>
  <si>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</si>
  <si>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</si>
  <si>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</si>
  <si>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</si>
  <si>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</si>
  <si>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</si>
  <si>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</si>
  <si>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</si>
  <si>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</si>
  <si>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</si>
  <si>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</si>
  <si>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</si>
  <si>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</si>
  <si>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</si>
  <si>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</si>
  <si>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Горненское</t>
  </si>
  <si>
    <t>05612407</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</si>
  <si>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</si>
  <si>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</si>
  <si>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</si>
  <si>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</si>
  <si>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</si>
  <si>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</si>
  <si>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</si>
  <si>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</si>
  <si>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</si>
  <si>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</si>
  <si>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</si>
  <si>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</si>
  <si>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</si>
  <si>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</si>
  <si>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</si>
  <si>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</si>
  <si>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</si>
  <si>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</si>
  <si>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</si>
  <si>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</si>
  <si>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</si>
  <si>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</si>
  <si>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</si>
  <si>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</si>
  <si>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</si>
  <si>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</si>
  <si>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</si>
  <si>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</si>
  <si>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Таежненское</t>
  </si>
  <si>
    <t>05614437</t>
  </si>
  <si>
    <t>Лазовский муниципальный округ</t>
  </si>
  <si>
    <t>05517000</t>
  </si>
  <si>
    <t>Михайловский муниципальный округ</t>
  </si>
  <si>
    <t>05520000</t>
  </si>
  <si>
    <t>05620000</t>
  </si>
  <si>
    <t>Григорьевское сельское поселение</t>
  </si>
  <si>
    <t>05620406</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</si>
  <si>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</si>
  <si>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</si>
  <si>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</si>
  <si>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</si>
  <si>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</si>
  <si>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</si>
  <si>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</si>
  <si>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</si>
  <si>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</si>
  <si>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</si>
  <si>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</si>
  <si>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</si>
  <si>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</si>
  <si>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</si>
  <si>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</si>
  <si>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</si>
  <si>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</si>
  <si>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</si>
  <si>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Октябрьский муниципальный округ</t>
  </si>
  <si>
    <t>05526000</t>
  </si>
  <si>
    <t>Ольгинский муниципальный округ</t>
  </si>
  <si>
    <t>05528000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</si>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</sst>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42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49" fontId="22"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primtep.ru/" TargetMode="External"/><Relationship Id="rId3" Type="http://schemas.openxmlformats.org/officeDocument/2006/relationships/hyperlink" Target="https://portal.eias.ru/Portal/DownloadPage.aspx?type=12&amp;guid=ff5ef654-9518-468c-ad56-892eb9b93493" TargetMode="External"/><Relationship Id="rId4" Type="http://schemas.openxmlformats.org/officeDocument/2006/relationships/hyperlink" Target="https://portal.eias.ru/Portal/DownloadPage.aspx?type=12&amp;guid=ff5ef654-9518-468c-ad56-892eb9b9349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3BC9-F9A7-63B8-4E48-CEC38CD7EC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912" width="5.421875" customWidth="1"/>
    <col min="2" max="2" style="3912" width="9.140625" customWidth="1"/>
    <col min="3" max="3" style="3912" width="16.421875" customWidth="1"/>
    <col min="4" max="25" style="3912" width="6.28125" customWidth="1"/>
    <col min="26" max="28" style="3912" width="11.00390625"/>
  </cols>
  <sheetData>
    <row customHeight="1" ht="15.75">
      <c r="A1" s="1716"/>
      <c r="B1" s="1717"/>
      <c r="C1" s="1717"/>
      <c r="D1" s="1717"/>
      <c r="E1" s="1717"/>
      <c r="F1" s="1717"/>
      <c r="G1" s="1717"/>
      <c r="H1" s="1717"/>
      <c r="I1" s="1717"/>
      <c r="J1" s="1717"/>
      <c r="K1" s="1717"/>
      <c r="L1" s="1717"/>
      <c r="M1" s="1717"/>
      <c r="N1" s="1717"/>
      <c r="O1" s="1717"/>
      <c r="P1" s="1717"/>
      <c r="Q1" s="1717"/>
      <c r="R1" s="1717"/>
      <c r="S1" s="1717"/>
      <c r="T1" s="1717"/>
      <c r="U1" s="1717"/>
      <c r="V1" s="1717"/>
      <c r="W1" s="1717"/>
      <c r="X1" s="1717"/>
      <c r="Y1" s="1718"/>
      <c r="Z1" s="1717"/>
      <c r="AA1" s="1719" t="s">
        <v>0</v>
      </c>
      <c r="AB1" s="1717"/>
    </row>
    <row customHeight="1" ht="17.25">
      <c r="A2" s="1717"/>
      <c r="B2" s="2093" t="s">
        <v>1</v>
      </c>
      <c r="C2" s="2093"/>
      <c r="D2" s="2093"/>
      <c r="E2" s="2093"/>
      <c r="F2" s="2093"/>
      <c r="G2" s="2093"/>
      <c r="H2" s="2093"/>
      <c r="I2" s="2093"/>
      <c r="J2" s="2093"/>
      <c r="K2" s="2093"/>
      <c r="L2" s="2093"/>
      <c r="M2" s="2093"/>
      <c r="N2" s="2093"/>
      <c r="O2" s="2093"/>
      <c r="P2" s="2093"/>
      <c r="Q2" s="1721"/>
      <c r="R2" s="1721"/>
      <c r="S2" s="1721"/>
      <c r="T2" s="1721"/>
      <c r="U2" s="1721"/>
      <c r="V2" s="1722"/>
      <c r="W2" s="1721"/>
      <c r="X2" s="1721"/>
      <c r="Y2" s="1718"/>
      <c r="Z2" s="1717"/>
      <c r="AA2" s="1719"/>
      <c r="AB2" s="1717"/>
    </row>
    <row customHeight="1" ht="15.75">
      <c r="A3" s="1717"/>
      <c r="B3" s="2094" t="s">
        <v>2</v>
      </c>
      <c r="C3" s="2094"/>
      <c r="D3" s="2094"/>
      <c r="E3" s="2094"/>
      <c r="F3" s="2094"/>
      <c r="G3" s="2094"/>
      <c r="H3" s="2094"/>
      <c r="I3" s="2094"/>
      <c r="J3" s="2094"/>
      <c r="K3" s="2094"/>
      <c r="L3" s="2094"/>
      <c r="M3" s="2094"/>
      <c r="N3" s="2094"/>
      <c r="O3" s="2094"/>
      <c r="P3" s="2094"/>
      <c r="Q3" s="1722"/>
      <c r="R3" s="1722"/>
      <c r="S3" s="1721"/>
      <c r="T3" s="1721"/>
      <c r="U3" s="1721"/>
      <c r="V3" s="1722"/>
      <c r="W3" s="1722"/>
      <c r="X3" s="1722"/>
      <c r="Y3" s="1722"/>
      <c r="Z3" s="1717"/>
      <c r="AA3" s="1719"/>
      <c r="AB3" s="1717"/>
    </row>
    <row customHeight="1" ht="17.25">
      <c r="A4" s="1717"/>
      <c r="B4" s="1723"/>
      <c r="C4" s="1717"/>
      <c r="D4" s="1722"/>
      <c r="E4" s="1722"/>
      <c r="F4" s="1722"/>
      <c r="G4" s="1722"/>
      <c r="H4" s="1722"/>
      <c r="I4" s="1722"/>
      <c r="J4" s="1722"/>
      <c r="K4" s="1722"/>
      <c r="L4" s="1722"/>
      <c r="M4" s="1722"/>
      <c r="N4" s="1722"/>
      <c r="O4" s="1722"/>
      <c r="P4" s="1722"/>
      <c r="Q4" s="1722"/>
      <c r="R4" s="1722"/>
      <c r="S4" s="1722"/>
      <c r="T4" s="1722"/>
      <c r="U4" s="1722"/>
      <c r="V4" s="1722"/>
      <c r="W4" s="1722"/>
      <c r="X4" s="1722"/>
      <c r="Y4" s="1722"/>
      <c r="Z4" s="1717"/>
      <c r="AA4" s="1719"/>
      <c r="AB4" s="1717"/>
    </row>
    <row customHeight="1" ht="22.5">
      <c r="A5" s="1724"/>
      <c r="B5" s="209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96"/>
      <c r="D5" s="2096"/>
      <c r="E5" s="2096"/>
      <c r="F5" s="2096"/>
      <c r="G5" s="2096"/>
      <c r="H5" s="2096"/>
      <c r="I5" s="2096"/>
      <c r="J5" s="2096"/>
      <c r="K5" s="2096"/>
      <c r="L5" s="2096"/>
      <c r="M5" s="2096"/>
      <c r="N5" s="2096"/>
      <c r="O5" s="2096"/>
      <c r="P5" s="2096"/>
      <c r="Q5" s="2096"/>
      <c r="R5" s="2096"/>
      <c r="S5" s="2096"/>
      <c r="T5" s="2096"/>
      <c r="U5" s="2096"/>
      <c r="V5" s="2096"/>
      <c r="W5" s="2096"/>
      <c r="X5" s="2096"/>
      <c r="Y5" s="2097"/>
      <c r="Z5" s="1724"/>
      <c r="AA5" s="1719"/>
      <c r="AB5" s="1724"/>
    </row>
    <row customHeight="1" ht="15">
      <c r="A6" s="1725"/>
      <c r="B6" s="2098" t="s">
        <v>3</v>
      </c>
      <c r="C6" s="2099"/>
      <c r="D6" s="1726"/>
      <c r="E6" s="1726"/>
      <c r="F6" s="1726"/>
      <c r="G6" s="1726"/>
      <c r="H6" s="1726"/>
      <c r="I6" s="1726"/>
      <c r="J6" s="1726"/>
      <c r="K6" s="1726"/>
      <c r="L6" s="1726"/>
      <c r="M6" s="1726"/>
      <c r="N6" s="1726"/>
      <c r="O6" s="1726"/>
      <c r="P6" s="1726"/>
      <c r="Q6" s="1726"/>
      <c r="R6" s="1726"/>
      <c r="S6" s="1726"/>
      <c r="T6" s="1726"/>
      <c r="U6" s="1726"/>
      <c r="V6" s="1726"/>
      <c r="W6" s="1726"/>
      <c r="X6" s="1726"/>
      <c r="Y6" s="1727"/>
      <c r="Z6" s="1728"/>
      <c r="AA6" s="1729"/>
      <c r="AB6" s="1729"/>
    </row>
    <row customHeight="1" ht="15">
      <c r="A7" s="1725"/>
      <c r="B7" s="2098"/>
      <c r="C7" s="2099"/>
      <c r="D7" s="1726"/>
      <c r="E7" s="1726"/>
      <c r="F7" s="1730"/>
      <c r="G7" s="1730"/>
      <c r="H7" s="1730"/>
      <c r="I7" s="1730"/>
      <c r="J7" s="1730"/>
      <c r="K7" s="1730"/>
      <c r="L7" s="1730"/>
      <c r="M7" s="1730"/>
      <c r="N7" s="1730"/>
      <c r="O7" s="1726"/>
      <c r="P7" s="1730"/>
      <c r="Q7" s="1730"/>
      <c r="R7" s="1730"/>
      <c r="S7" s="1730"/>
      <c r="T7" s="1730"/>
      <c r="U7" s="1730"/>
      <c r="V7" s="1730"/>
      <c r="W7" s="1730"/>
      <c r="X7" s="1730"/>
      <c r="Y7" s="1727"/>
      <c r="Z7" s="1728"/>
      <c r="AA7" s="1729"/>
      <c r="AB7" s="1729"/>
    </row>
    <row customHeight="1" ht="15">
      <c r="A8" s="1725"/>
      <c r="B8" s="2098"/>
      <c r="C8" s="2099"/>
      <c r="D8" s="1731"/>
      <c r="E8" s="1732" t="s">
        <v>4</v>
      </c>
      <c r="F8" s="2101" t="s">
        <v>5</v>
      </c>
      <c r="G8" s="2102"/>
      <c r="H8" s="2102"/>
      <c r="I8" s="2102"/>
      <c r="J8" s="2102"/>
      <c r="K8" s="2102"/>
      <c r="L8" s="2102"/>
      <c r="M8" s="2102"/>
      <c r="N8" s="1731"/>
      <c r="O8" s="1733" t="s">
        <v>4</v>
      </c>
      <c r="P8" s="2103" t="s">
        <v>6</v>
      </c>
      <c r="Q8" s="2104"/>
      <c r="R8" s="2104"/>
      <c r="S8" s="2104"/>
      <c r="T8" s="2104"/>
      <c r="U8" s="2104"/>
      <c r="V8" s="2104"/>
      <c r="W8" s="2104"/>
      <c r="X8" s="2104"/>
      <c r="Y8" s="1727"/>
      <c r="Z8" s="1728"/>
      <c r="AA8" s="1729"/>
      <c r="AB8" s="1729"/>
    </row>
    <row customHeight="1" ht="15">
      <c r="A9" s="1725"/>
      <c r="B9" s="2098"/>
      <c r="C9" s="2099"/>
      <c r="D9" s="1731"/>
      <c r="E9" s="1734" t="s">
        <v>4</v>
      </c>
      <c r="F9" s="2101" t="s">
        <v>7</v>
      </c>
      <c r="G9" s="2102"/>
      <c r="H9" s="2102"/>
      <c r="I9" s="2102"/>
      <c r="J9" s="2102"/>
      <c r="K9" s="2102"/>
      <c r="L9" s="2102"/>
      <c r="M9" s="2102"/>
      <c r="N9" s="1731"/>
      <c r="O9" s="1735" t="s">
        <v>4</v>
      </c>
      <c r="P9" s="2103" t="s">
        <v>8</v>
      </c>
      <c r="Q9" s="2104"/>
      <c r="R9" s="2104"/>
      <c r="S9" s="2104"/>
      <c r="T9" s="2104"/>
      <c r="U9" s="2104"/>
      <c r="V9" s="2104"/>
      <c r="W9" s="2104"/>
      <c r="X9" s="2104"/>
      <c r="Y9" s="1727"/>
      <c r="Z9" s="1728"/>
      <c r="AA9" s="1729"/>
      <c r="AB9" s="1729"/>
    </row>
    <row customHeight="1" ht="30">
      <c r="A10" s="1725"/>
      <c r="B10" s="2098"/>
      <c r="C10" s="2100"/>
      <c r="D10" s="1736"/>
      <c r="E10" s="1737"/>
      <c r="F10" s="1730"/>
      <c r="G10" s="1730"/>
      <c r="H10" s="1730"/>
      <c r="I10" s="1730"/>
      <c r="J10" s="1730"/>
      <c r="K10" s="1730"/>
      <c r="L10" s="1730"/>
      <c r="M10" s="1730"/>
      <c r="N10" s="1730"/>
      <c r="O10" s="1737"/>
      <c r="P10" s="1730"/>
      <c r="Q10" s="1730"/>
      <c r="R10" s="1730"/>
      <c r="S10" s="1730"/>
      <c r="T10" s="1730"/>
      <c r="U10" s="1730"/>
      <c r="V10" s="1730"/>
      <c r="W10" s="1730"/>
      <c r="X10" s="1730"/>
      <c r="Y10" s="1727"/>
      <c r="Z10" s="1728"/>
      <c r="AA10" s="1729"/>
      <c r="AB10" s="1729"/>
    </row>
    <row customHeight="1" ht="19.5">
      <c r="A11" s="1725"/>
      <c r="B11" s="2105" t="s">
        <v>9</v>
      </c>
      <c r="C11" s="2106"/>
      <c r="D11" s="1731"/>
      <c r="E11" s="1738"/>
      <c r="F11" s="1738"/>
      <c r="G11" s="1738"/>
      <c r="H11" s="1738"/>
      <c r="I11" s="1738"/>
      <c r="J11" s="1738"/>
      <c r="K11" s="1738"/>
      <c r="L11" s="1738"/>
      <c r="M11" s="1738"/>
      <c r="N11" s="1738"/>
      <c r="O11" s="1738"/>
      <c r="P11" s="1738"/>
      <c r="Q11" s="1738"/>
      <c r="R11" s="1738"/>
      <c r="S11" s="1738"/>
      <c r="T11" s="1738"/>
      <c r="U11" s="1738"/>
      <c r="V11" s="1738"/>
      <c r="W11" s="1738"/>
      <c r="X11" s="1738"/>
      <c r="Y11" s="1727"/>
      <c r="Z11" s="1728"/>
      <c r="AA11" s="1729"/>
      <c r="AB11" s="1729"/>
    </row>
    <row customHeight="1" ht="69">
      <c r="A12" s="1725"/>
      <c r="B12" s="2098"/>
      <c r="C12" s="2100"/>
      <c r="D12" s="1739"/>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27"/>
      <c r="Z12" s="1728"/>
      <c r="AA12" s="1729"/>
      <c r="AB12" s="1729"/>
    </row>
    <row customHeight="1" ht="15">
      <c r="A13" s="1725"/>
      <c r="B13" s="2105" t="s">
        <v>11</v>
      </c>
      <c r="C13" s="2106"/>
      <c r="D13" s="1726"/>
      <c r="E13" s="1738"/>
      <c r="F13" s="1738"/>
      <c r="G13" s="1738"/>
      <c r="H13" s="1738"/>
      <c r="I13" s="1738"/>
      <c r="J13" s="1738"/>
      <c r="K13" s="1738"/>
      <c r="L13" s="1738"/>
      <c r="M13" s="1738"/>
      <c r="N13" s="1738"/>
      <c r="O13" s="1738"/>
      <c r="P13" s="1738"/>
      <c r="Q13" s="1738"/>
      <c r="R13" s="1738"/>
      <c r="S13" s="1738"/>
      <c r="T13" s="1738"/>
      <c r="U13" s="1738"/>
      <c r="V13" s="1738"/>
      <c r="W13" s="1738"/>
      <c r="X13" s="1738"/>
      <c r="Y13" s="1727"/>
      <c r="Z13" s="1728"/>
      <c r="AA13" s="1729"/>
      <c r="AB13" s="1729"/>
    </row>
    <row customHeight="1" ht="57">
      <c r="A14" s="1725"/>
      <c r="B14" s="2098"/>
      <c r="C14" s="2099"/>
      <c r="D14" s="1731"/>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27"/>
      <c r="Z14" s="1728"/>
      <c r="AA14" s="1729"/>
      <c r="AB14" s="1729"/>
    </row>
    <row customHeight="1" ht="16.5">
      <c r="A15" s="1725"/>
      <c r="B15" s="2107"/>
      <c r="C15" s="2108"/>
      <c r="D15" s="1740"/>
      <c r="E15" s="1741"/>
      <c r="F15" s="1741"/>
      <c r="G15" s="1741"/>
      <c r="H15" s="1741"/>
      <c r="I15" s="1741"/>
      <c r="J15" s="1741"/>
      <c r="K15" s="1741"/>
      <c r="L15" s="1741"/>
      <c r="M15" s="1741"/>
      <c r="N15" s="1741"/>
      <c r="O15" s="1741"/>
      <c r="P15" s="1741"/>
      <c r="Q15" s="1741"/>
      <c r="R15" s="1741"/>
      <c r="S15" s="1741"/>
      <c r="T15" s="1741"/>
      <c r="U15" s="1741"/>
      <c r="V15" s="1741"/>
      <c r="W15" s="1741"/>
      <c r="X15" s="1741"/>
      <c r="Y15" s="1742"/>
      <c r="Z15" s="1728"/>
      <c r="AA15" s="1743"/>
      <c r="AB15" s="1729"/>
    </row>
    <row customHeight="1" ht="95.25">
      <c r="A16" s="1717"/>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17"/>
      <c r="AA16" s="1719"/>
      <c r="AB16" s="1717"/>
    </row>
    <row customHeight="1" ht="14.25">
      <c r="A17" s="1717"/>
      <c r="B17" s="1717"/>
      <c r="C17" s="1717"/>
      <c r="D17" s="1717"/>
      <c r="E17" s="1717"/>
      <c r="F17" s="1717"/>
      <c r="G17" s="1717"/>
      <c r="H17" s="1717"/>
      <c r="I17" s="1717"/>
      <c r="J17" s="1717"/>
      <c r="K17" s="1717"/>
      <c r="L17" s="1717"/>
      <c r="M17" s="1717"/>
      <c r="N17" s="1717"/>
      <c r="O17" s="1717"/>
      <c r="P17" s="1717"/>
      <c r="Q17" s="1717"/>
      <c r="R17" s="1717"/>
      <c r="S17" s="1717"/>
      <c r="T17" s="1717"/>
      <c r="U17" s="1717"/>
      <c r="V17" s="1717"/>
      <c r="W17" s="1717"/>
      <c r="X17" s="1717"/>
      <c r="Y17" s="1718"/>
      <c r="Z17" s="1717"/>
      <c r="AA17" s="1719"/>
      <c r="AB17" s="1717"/>
    </row>
    <row customHeight="1" ht="14.25">
      <c r="A18" s="1717"/>
      <c r="B18" s="1717"/>
      <c r="C18" s="1717"/>
      <c r="D18" s="1717"/>
      <c r="E18" s="1717"/>
      <c r="F18" s="1717"/>
      <c r="G18" s="1717"/>
      <c r="H18" s="1717"/>
      <c r="I18" s="1717"/>
      <c r="J18" s="1717"/>
      <c r="K18" s="1717"/>
      <c r="L18" s="1717"/>
      <c r="M18" s="1717"/>
      <c r="N18" s="1717"/>
      <c r="O18" s="1717"/>
      <c r="P18" s="1717"/>
      <c r="Q18" s="1717"/>
      <c r="R18" s="1717"/>
      <c r="S18" s="1717"/>
      <c r="T18" s="1717"/>
      <c r="U18" s="1717"/>
      <c r="V18" s="1717"/>
      <c r="W18" s="1717"/>
      <c r="X18" s="1717"/>
      <c r="Y18" s="1718"/>
      <c r="Z18" s="1717"/>
      <c r="AA18" s="1719"/>
      <c r="AB18" s="1717"/>
    </row>
    <row customHeight="1" ht="14.25">
      <c r="A19" s="1717"/>
      <c r="B19" s="1717"/>
      <c r="C19" s="1717"/>
      <c r="D19" s="1717"/>
      <c r="E19" s="1717"/>
      <c r="F19" s="1717"/>
      <c r="G19" s="1717"/>
      <c r="H19" s="1717"/>
      <c r="I19" s="1717"/>
      <c r="J19" s="1717"/>
      <c r="K19" s="1717"/>
      <c r="L19" s="1717"/>
      <c r="M19" s="1717"/>
      <c r="N19" s="1717"/>
      <c r="O19" s="1717"/>
      <c r="P19" s="1717"/>
      <c r="Q19" s="1717"/>
      <c r="R19" s="1717"/>
      <c r="S19" s="1717"/>
      <c r="T19" s="1717"/>
      <c r="U19" s="1717"/>
      <c r="V19" s="1717"/>
      <c r="W19" s="1717"/>
      <c r="X19" s="1717"/>
      <c r="Y19" s="1718"/>
      <c r="Z19" s="1717"/>
      <c r="AA19" s="1719"/>
      <c r="AB19" s="1717"/>
    </row>
    <row customHeight="1" ht="14.25">
      <c r="A20" s="1717"/>
      <c r="B20" s="1717"/>
      <c r="C20" s="1717"/>
      <c r="D20" s="1717"/>
      <c r="E20" s="1717"/>
      <c r="F20" s="1717"/>
      <c r="G20" s="1717"/>
      <c r="H20" s="1717"/>
      <c r="I20" s="1717"/>
      <c r="J20" s="1717"/>
      <c r="K20" s="1717"/>
      <c r="L20" s="1717"/>
      <c r="M20" s="1717"/>
      <c r="N20" s="1717"/>
      <c r="O20" s="1717"/>
      <c r="P20" s="1717"/>
      <c r="Q20" s="1717"/>
      <c r="R20" s="1717"/>
      <c r="S20" s="1717"/>
      <c r="T20" s="1717"/>
      <c r="U20" s="1717"/>
      <c r="V20" s="1717"/>
      <c r="W20" s="1717"/>
      <c r="X20" s="1717"/>
      <c r="Y20" s="1718"/>
      <c r="Z20" s="1717"/>
      <c r="AA20" s="1719"/>
      <c r="AB20" s="1717"/>
    </row>
    <row customHeight="1" ht="14.25">
      <c r="A21" s="1717"/>
      <c r="B21" s="1717"/>
      <c r="C21" s="1717"/>
      <c r="D21" s="1717"/>
      <c r="E21" s="1717"/>
      <c r="F21" s="1717"/>
      <c r="G21" s="1717"/>
      <c r="H21" s="1717"/>
      <c r="I21" s="1717"/>
      <c r="J21" s="1717"/>
      <c r="K21" s="1717"/>
      <c r="L21" s="1717"/>
      <c r="M21" s="1717"/>
      <c r="N21" s="1717"/>
      <c r="O21" s="1717"/>
      <c r="P21" s="1717"/>
      <c r="Q21" s="1717"/>
      <c r="R21" s="1717"/>
      <c r="S21" s="1717"/>
      <c r="T21" s="1717"/>
      <c r="U21" s="1717"/>
      <c r="V21" s="1717"/>
      <c r="W21" s="1717"/>
      <c r="X21" s="1717"/>
      <c r="Y21" s="1718"/>
      <c r="Z21" s="1717"/>
      <c r="AA21" s="1719"/>
      <c r="AB21" s="171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200B1-29FF-C4E6-97BF-D4BF55D0962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8" width="9.140625" hidden="1" customWidth="1"/>
    <col min="2" max="3" style="1651" width="9.140625" hidden="1" customWidth="1"/>
    <col min="4" max="4" style="1858" width="3.00390625" customWidth="1"/>
    <col min="5" max="5" style="1651" width="6.00390625" customWidth="1"/>
    <col min="6" max="6" style="1651" width="1.7109375" hidden="1" customWidth="1"/>
    <col min="7" max="8" style="1651" width="30.00390625" customWidth="1"/>
    <col min="9" max="9" style="1651" width="8.00390625" customWidth="1"/>
    <col min="10" max="10" style="1651" width="12.140625" customWidth="1"/>
    <col min="11" max="11" style="1651" width="46.00390625" customWidth="1"/>
    <col min="12" max="12" style="1651" width="100.00390625" customWidth="1"/>
    <col min="13" max="13" style="1835" width="7.00390625" customWidth="1"/>
    <col min="14" max="22" style="1651" width="10.00390625" customWidth="1"/>
    <col min="23" max="23" style="1651" width="10.57421875" hidden="1"/>
  </cols>
  <sheetData>
    <row s="1658" customFormat="1" customHeight="1" ht="5.25" hidden="1">
      <c r="C1" s="527"/>
      <c r="D1" s="510"/>
      <c r="F1" s="527"/>
      <c r="G1" s="505" t="s">
        <v>86</v>
      </c>
      <c r="H1" s="505" t="s">
        <v>87</v>
      </c>
      <c r="I1" s="505" t="s">
        <v>88</v>
      </c>
      <c r="P1" s="505" t="s">
        <v>86</v>
      </c>
      <c r="Q1" s="505" t="s">
        <v>87</v>
      </c>
      <c r="R1" s="505" t="s">
        <v>88</v>
      </c>
      <c r="W1" s="505" t="s">
        <v>14</v>
      </c>
    </row>
    <row s="1658" customFormat="1" customHeight="1" ht="5.25" hidden="1">
      <c r="C2" s="527"/>
      <c r="D2" s="510"/>
      <c r="F2" s="527"/>
      <c r="W2" s="505">
        <v>0</v>
      </c>
    </row>
    <row s="1628" customFormat="1" customHeight="1" ht="5.25">
      <c r="A3" s="495"/>
      <c r="D3" s="502"/>
      <c r="E3" s="497"/>
      <c r="F3" s="497"/>
      <c r="G3" s="497"/>
      <c r="H3" s="497"/>
      <c r="I3" s="498"/>
      <c r="J3" s="499"/>
      <c r="K3" s="499"/>
      <c r="L3" s="499"/>
      <c r="W3" s="496">
        <v>5</v>
      </c>
    </row>
    <row customHeight="1" ht="23.25">
      <c r="D4" s="466"/>
      <c r="E4" s="2254" t="s">
        <v>541</v>
      </c>
      <c r="F4" s="2254"/>
      <c r="G4" s="2255"/>
      <c r="H4" s="2255"/>
      <c r="I4" s="2256"/>
      <c r="J4" s="507"/>
      <c r="K4" s="469"/>
      <c r="L4" s="469"/>
      <c r="W4" s="463">
        <v>22</v>
      </c>
    </row>
    <row s="1651" customFormat="1" customHeight="1" ht="18">
      <c r="A5" s="775"/>
      <c r="D5" s="838"/>
      <c r="E5" s="2230" t="str">
        <f>IF(org=0,"Не определено",org)</f>
        <v>КГУП "Примтеплоэнерго"</v>
      </c>
      <c r="F5" s="2230"/>
      <c r="G5" s="2231"/>
      <c r="H5" s="2231"/>
      <c r="I5" s="2232"/>
      <c r="J5" s="507"/>
      <c r="K5" s="469"/>
      <c r="L5" s="469"/>
      <c r="M5" s="523"/>
      <c r="W5" s="774">
        <v>17</v>
      </c>
    </row>
    <row s="1628" customFormat="1" customHeight="1" ht="11.549999999999999">
      <c r="A6" s="495"/>
      <c r="D6" s="502"/>
      <c r="E6" s="497"/>
      <c r="F6" s="497"/>
      <c r="G6" s="500"/>
      <c r="H6" s="500"/>
      <c r="I6" s="501"/>
      <c r="J6" s="501"/>
      <c r="K6" s="768"/>
      <c r="L6" s="501"/>
      <c r="W6" s="496">
        <v>11</v>
      </c>
    </row>
    <row customHeight="1" ht="14.699999999999998">
      <c r="D7" s="466"/>
      <c r="E7" s="2224" t="s">
        <v>453</v>
      </c>
      <c r="F7" s="2224"/>
      <c r="G7" s="2225"/>
      <c r="H7" s="2225"/>
      <c r="I7" s="2225"/>
      <c r="J7" s="2225"/>
      <c r="K7" s="2225"/>
      <c r="L7" s="2239" t="s">
        <v>454</v>
      </c>
      <c r="W7" s="463">
        <v>14</v>
      </c>
    </row>
    <row customHeight="1" ht="48.29999999999999">
      <c r="D8" s="466"/>
      <c r="E8" s="489" t="s">
        <v>91</v>
      </c>
      <c r="F8" s="839"/>
      <c r="G8" s="481" t="s">
        <v>89</v>
      </c>
      <c r="H8" s="481" t="s">
        <v>90</v>
      </c>
      <c r="I8" s="430" t="s">
        <v>88</v>
      </c>
      <c r="J8" s="430" t="s">
        <v>542</v>
      </c>
      <c r="K8" s="430" t="s">
        <v>543</v>
      </c>
      <c r="L8" s="2239"/>
      <c r="W8" s="463">
        <v>46</v>
      </c>
    </row>
    <row customHeight="1" ht="12" hidden="1">
      <c r="D9" s="503"/>
      <c r="E9" s="509"/>
      <c r="F9" s="846"/>
      <c r="G9" s="509"/>
      <c r="H9" s="509"/>
      <c r="I9" s="509"/>
      <c r="J9" s="509"/>
      <c r="K9" s="509"/>
      <c r="L9" s="509"/>
      <c r="M9" s="463"/>
      <c r="W9" s="463">
        <v>0</v>
      </c>
    </row>
    <row customHeight="1" ht="14.25" hidden="1">
      <c r="A10" s="521"/>
      <c r="B10" s="521"/>
      <c r="D10" s="522"/>
      <c r="E10" s="528">
        <v>0</v>
      </c>
      <c r="F10" s="837"/>
      <c r="G10" s="524"/>
      <c r="H10" s="524"/>
      <c r="I10" s="524"/>
      <c r="J10" s="524"/>
      <c r="K10" s="524"/>
      <c r="L10" s="2237" t="s">
        <v>544</v>
      </c>
      <c r="M10" s="523"/>
      <c r="N10" s="521"/>
      <c r="O10" s="521"/>
      <c r="P10" s="521"/>
      <c r="Q10" s="521"/>
      <c r="R10" s="521"/>
      <c r="S10" s="521"/>
      <c r="T10" s="521"/>
      <c r="U10" s="521"/>
      <c r="V10" s="521"/>
      <c r="W10" s="463">
        <v>0</v>
      </c>
    </row>
    <row customHeight="1" ht="15" hidden="1">
      <c r="A11" s="2115"/>
      <c r="B11" s="520"/>
      <c r="C11" s="520"/>
      <c r="D11" s="881"/>
      <c r="E11" s="529"/>
      <c r="F11" s="529"/>
      <c r="G11" s="529"/>
      <c r="H11" s="529"/>
      <c r="I11" s="530"/>
      <c r="J11" s="531"/>
      <c r="K11" s="729"/>
      <c r="L11" s="2257"/>
      <c r="M11" s="527"/>
      <c r="N11" s="527"/>
      <c r="O11" s="527"/>
      <c r="P11" s="532"/>
      <c r="Q11" s="532"/>
      <c r="R11" s="533"/>
      <c r="S11" s="527"/>
      <c r="T11" s="527"/>
      <c r="U11" s="527"/>
      <c r="V11" s="527"/>
      <c r="W11" s="463">
        <v>0</v>
      </c>
    </row>
    <row s="1628" customFormat="1" customHeight="1" ht="15">
      <c r="A12" s="2115"/>
      <c r="B12" s="520"/>
      <c r="C12" s="520"/>
      <c r="D12" s="882"/>
      <c r="E12" s="839">
        <v>1</v>
      </c>
      <c r="F12" s="880">
        <v>23</v>
      </c>
      <c r="G12" s="879"/>
      <c r="H12" s="809"/>
      <c r="I12" s="807"/>
      <c r="J12" s="536" t="s">
        <v>64</v>
      </c>
      <c r="K12" s="1180" t="s">
        <v>28</v>
      </c>
      <c r="L12" s="2257"/>
      <c r="M12" s="527"/>
      <c r="N12" s="527"/>
      <c r="O12" s="527"/>
      <c r="P12" s="532" t="s">
        <v>545</v>
      </c>
      <c r="Q12" s="532" t="s">
        <v>546</v>
      </c>
      <c r="R12" s="533" t="s">
        <v>547</v>
      </c>
      <c r="S12" s="527" t="s">
        <v>548</v>
      </c>
      <c r="T12" s="527"/>
      <c r="U12" s="527"/>
      <c r="V12" s="527"/>
      <c r="W12" s="496">
        <v>14</v>
      </c>
    </row>
    <row customHeight="1" ht="15.75">
      <c r="A13" s="2115"/>
      <c r="B13" s="521"/>
      <c r="D13" s="522"/>
      <c r="E13" s="421"/>
      <c r="F13" s="545"/>
      <c r="G13" s="432" t="s">
        <v>106</v>
      </c>
      <c r="H13" s="420"/>
      <c r="I13" s="420"/>
      <c r="J13" s="420"/>
      <c r="K13" s="419"/>
      <c r="L13" s="2238"/>
      <c r="M13" s="525"/>
      <c r="N13" s="521"/>
      <c r="O13" s="521"/>
      <c r="P13" s="521"/>
      <c r="Q13" s="521"/>
      <c r="R13" s="521"/>
      <c r="S13" s="521"/>
      <c r="T13" s="521"/>
      <c r="U13" s="521"/>
      <c r="V13" s="521"/>
      <c r="W13" s="463">
        <v>15</v>
      </c>
    </row>
    <row customHeight="1" ht="11.549999999999999">
      <c r="A14" s="495"/>
      <c r="B14" s="496"/>
      <c r="C14" s="496"/>
      <c r="D14" s="511"/>
      <c r="E14" s="496"/>
      <c r="F14" s="496"/>
      <c r="G14" s="496"/>
      <c r="H14" s="496"/>
      <c r="I14" s="496"/>
      <c r="J14" s="496"/>
      <c r="K14" s="496"/>
      <c r="L14" s="496"/>
      <c r="M14" s="496"/>
      <c r="N14" s="496"/>
      <c r="O14" s="496"/>
      <c r="P14" s="496"/>
      <c r="Q14" s="496"/>
      <c r="R14" s="496"/>
      <c r="S14" s="496"/>
      <c r="T14" s="496"/>
      <c r="U14" s="496"/>
      <c r="V14" s="496"/>
      <c r="W14" s="463">
        <v>11</v>
      </c>
    </row>
    <row customHeight="1" ht="14.699999999999998">
      <c r="D15" s="482"/>
      <c r="E15" s="352"/>
      <c r="F15" s="352"/>
      <c r="G15" s="68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2"/>
      <c r="I15" s="482"/>
      <c r="J15" s="482"/>
      <c r="K15" s="482"/>
      <c r="L15" s="482"/>
      <c r="W15" s="463">
        <v>14</v>
      </c>
    </row>
    <row customHeight="1" ht="14.699999999999998">
      <c r="W16" s="463">
        <v>14</v>
      </c>
    </row>
    <row customHeight="1" ht="14.699999999999998">
      <c r="W17" s="463">
        <v>14</v>
      </c>
    </row>
    <row customHeight="1" ht="14.699999999999998">
      <c r="G18" s="521"/>
      <c r="W18" s="463">
        <v>14</v>
      </c>
    </row>
    <row customHeight="1" ht="22.5" hidden="1">
      <c r="A19" s="465" t="s">
        <v>85</v>
      </c>
      <c r="B19" s="463">
        <v>0</v>
      </c>
      <c r="C19" s="774">
        <v>0</v>
      </c>
      <c r="D19" s="467">
        <v>3</v>
      </c>
      <c r="E19" s="463">
        <v>6</v>
      </c>
      <c r="F19" s="774">
        <v>0</v>
      </c>
      <c r="G19" s="463">
        <v>30</v>
      </c>
      <c r="H19" s="463">
        <v>30</v>
      </c>
      <c r="I19" s="463">
        <v>8</v>
      </c>
      <c r="J19" s="463">
        <v>12</v>
      </c>
      <c r="K19" s="463">
        <v>46</v>
      </c>
      <c r="L19" s="463">
        <v>100</v>
      </c>
      <c r="M19" s="468">
        <v>7</v>
      </c>
      <c r="N19" s="463">
        <v>10</v>
      </c>
      <c r="O19" s="463">
        <v>10</v>
      </c>
      <c r="P19" s="463">
        <v>10</v>
      </c>
      <c r="Q19" s="463">
        <v>10</v>
      </c>
      <c r="R19" s="463">
        <v>10</v>
      </c>
      <c r="S19" s="463">
        <v>10</v>
      </c>
      <c r="T19" s="463">
        <v>10</v>
      </c>
      <c r="U19" s="463">
        <v>10</v>
      </c>
      <c r="V19" s="463">
        <v>10</v>
      </c>
      <c r="W19" s="46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F3E9B-DB72-CF13-2325-2509FEF2AE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Y1" s="343"/>
      <c r="Z1" s="343"/>
      <c r="AG1" s="343"/>
      <c r="AH1" s="343"/>
      <c r="AS1" s="1171" t="s">
        <v>14</v>
      </c>
    </row>
    <row customHeight="1" ht="21" hidden="1">
      <c r="A2" s="1379"/>
      <c r="B2" s="1379"/>
      <c r="C2" s="1379"/>
      <c r="D2" s="1379"/>
      <c r="E2" s="2274">
        <v>1</v>
      </c>
      <c r="F2" s="1379"/>
      <c r="G2" s="1379"/>
      <c r="H2" s="1379"/>
      <c r="I2" s="1379"/>
      <c r="J2" s="1379"/>
      <c r="K2" s="1379"/>
      <c r="L2" s="1380"/>
      <c r="M2" s="1381"/>
      <c r="N2" s="1381"/>
      <c r="O2" s="1381"/>
      <c r="P2" s="377"/>
      <c r="Q2" s="376"/>
      <c r="R2" s="371"/>
      <c r="S2" s="1325">
        <f>INDEX(PT_DIFFERENTIATION_NUM_NTAR,MATCH(A2,PT_DIFFERENTIATION_NTAR_ID,0))</f>
      </c>
      <c r="T2" s="314"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516"/>
      <c r="AP2" s="516" t="str">
        <f>IF(T2="","",T2)</f>
        <v>Наименование тарифа</v>
      </c>
      <c r="AQ2" s="516"/>
      <c r="AR2" s="516"/>
      <c r="AS2" s="1171">
        <v>0</v>
      </c>
    </row>
    <row customHeight="1" ht="21" hidden="1">
      <c r="A3" s="1379"/>
      <c r="B3" s="1379"/>
      <c r="C3" s="1379"/>
      <c r="D3" s="1379"/>
      <c r="E3" s="2275"/>
      <c r="F3" s="2274">
        <v>1</v>
      </c>
      <c r="G3" s="1379"/>
      <c r="H3" s="1379"/>
      <c r="I3" s="1379"/>
      <c r="J3" s="1379"/>
      <c r="K3" s="1379"/>
      <c r="L3" s="1380"/>
      <c r="M3" s="1381"/>
      <c r="N3" s="1381"/>
      <c r="O3" s="1381"/>
      <c r="P3" s="1320"/>
      <c r="Q3" s="368"/>
      <c r="R3" s="369"/>
      <c r="S3" s="1325">
        <f>INDEX(PT_DIFFERENTIATION_NUM_TER,MATCH(B3,PT_DIFFERENTIATION_TER_ID,0))</f>
      </c>
      <c r="T3" s="324"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516"/>
      <c r="AP3" s="516" t="str">
        <f>IF(T3="","",T3)</f>
        <v>Территория действия тарифа</v>
      </c>
      <c r="AQ3" s="516"/>
      <c r="AR3" s="516"/>
      <c r="AS3" s="1171">
        <v>0</v>
      </c>
    </row>
    <row customHeight="1" ht="23.25" hidden="1">
      <c r="A4" s="1379"/>
      <c r="B4" s="1379"/>
      <c r="C4" s="1379"/>
      <c r="D4" s="1379"/>
      <c r="E4" s="2275"/>
      <c r="F4" s="2275"/>
      <c r="G4" s="2274">
        <v>1</v>
      </c>
      <c r="H4" s="1379"/>
      <c r="I4" s="1379"/>
      <c r="J4" s="1379"/>
      <c r="K4" s="1379"/>
      <c r="L4" s="1380"/>
      <c r="M4" s="1381"/>
      <c r="N4" s="1381"/>
      <c r="O4" s="1381"/>
      <c r="P4" s="370"/>
      <c r="Q4" s="368"/>
      <c r="R4" s="369"/>
      <c r="S4" s="1325">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516"/>
      <c r="AP4" s="516" t="str">
        <f>IF(T4="","",T4)</f>
        <v>Наименование системы теплоснабжения </v>
      </c>
      <c r="AQ4" s="516"/>
      <c r="AR4" s="516"/>
      <c r="AS4" s="1171">
        <v>0</v>
      </c>
    </row>
    <row customHeight="1" ht="21" hidden="1">
      <c r="A5" s="1379"/>
      <c r="B5" s="1379"/>
      <c r="C5" s="1379"/>
      <c r="D5" s="1379"/>
      <c r="E5" s="2275"/>
      <c r="F5" s="2275"/>
      <c r="G5" s="2275"/>
      <c r="H5" s="2274">
        <v>1</v>
      </c>
      <c r="I5" s="1379"/>
      <c r="J5" s="1379"/>
      <c r="K5" s="1379"/>
      <c r="L5" s="1380"/>
      <c r="M5" s="1381"/>
      <c r="N5" s="1381"/>
      <c r="O5" s="1381"/>
      <c r="P5" s="370"/>
      <c r="Q5" s="368"/>
      <c r="R5" s="369"/>
      <c r="S5" s="1325">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516"/>
      <c r="AP5" s="516" t="str">
        <f>IF(T5="","",T5)</f>
        <v>Источник тепловой энергии  </v>
      </c>
      <c r="AQ5" s="516"/>
      <c r="AR5" s="516"/>
      <c r="AS5" s="1171">
        <v>0</v>
      </c>
    </row>
    <row customHeight="1" ht="47.25" hidden="1">
      <c r="A6" s="1379"/>
      <c r="B6" s="1379"/>
      <c r="C6" s="1379"/>
      <c r="D6" s="1379"/>
      <c r="E6" s="2275"/>
      <c r="F6" s="2275"/>
      <c r="G6" s="2275"/>
      <c r="H6" s="2275"/>
      <c r="I6" s="2272">
        <f>S5&amp;".1"</f>
      </c>
      <c r="J6" s="1379"/>
      <c r="K6" s="1379"/>
      <c r="L6" s="1380" t="s">
        <v>556</v>
      </c>
      <c r="M6" s="553"/>
      <c r="P6" s="2273">
        <v>1</v>
      </c>
      <c r="Q6" s="1321"/>
      <c r="R6" s="372"/>
      <c r="S6" s="1325">
        <f>$I6</f>
      </c>
      <c r="T6" s="301" t="s">
        <v>557</v>
      </c>
      <c r="U6" s="316"/>
      <c r="V6" s="2261"/>
      <c r="W6" s="2262"/>
      <c r="X6" s="2262"/>
      <c r="Y6" s="2262"/>
      <c r="Z6" s="2262"/>
      <c r="AA6" s="2262"/>
      <c r="AB6" s="2262"/>
      <c r="AC6" s="2263"/>
      <c r="AD6" s="2261"/>
      <c r="AE6" s="2262"/>
      <c r="AF6" s="2262"/>
      <c r="AG6" s="2262"/>
      <c r="AH6" s="2262"/>
      <c r="AI6" s="2262"/>
      <c r="AJ6" s="2262"/>
      <c r="AK6" s="2262"/>
      <c r="AL6" s="2263"/>
      <c r="AM6" s="1274" t="s">
        <v>558</v>
      </c>
      <c r="AO6" s="516"/>
      <c r="AP6" s="516" t="str">
        <f>IF(T6="","",T6)</f>
        <v>Схема подключения теплопотребляющей установки к коллектору источника тепловой энергии</v>
      </c>
      <c r="AQ6" s="516"/>
      <c r="AR6" s="516"/>
      <c r="AS6" s="1171">
        <v>0</v>
      </c>
    </row>
    <row customHeight="1" ht="21" hidden="1">
      <c r="A7" s="1379"/>
      <c r="B7" s="1379"/>
      <c r="C7" s="1379"/>
      <c r="D7" s="1379"/>
      <c r="E7" s="2275"/>
      <c r="F7" s="2275"/>
      <c r="G7" s="2275"/>
      <c r="H7" s="2275"/>
      <c r="I7" s="2302"/>
      <c r="J7" s="2272">
        <f>I6&amp;".1"</f>
      </c>
      <c r="K7" s="1379"/>
      <c r="L7" s="1380" t="s">
        <v>559</v>
      </c>
      <c r="M7" s="553"/>
      <c r="N7" s="1382"/>
      <c r="P7" s="2273"/>
      <c r="Q7" s="2273">
        <v>1</v>
      </c>
      <c r="R7" s="373"/>
      <c r="S7" s="1325">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516"/>
      <c r="AP7" s="516" t="str">
        <f>IF(T7="","",T7)</f>
        <v>Группа потребителей</v>
      </c>
      <c r="AQ7" s="516"/>
      <c r="AR7" s="516"/>
      <c r="AS7" s="1171">
        <v>0</v>
      </c>
    </row>
    <row customHeight="1" ht="21" hidden="1">
      <c r="A8" s="1379"/>
      <c r="B8" s="1379"/>
      <c r="C8" s="1379"/>
      <c r="D8" s="1379"/>
      <c r="E8" s="2275"/>
      <c r="F8" s="2275"/>
      <c r="G8" s="2275"/>
      <c r="H8" s="2275"/>
      <c r="I8" s="2302"/>
      <c r="J8" s="2302"/>
      <c r="K8" s="2272">
        <f>J7&amp;".1"</f>
      </c>
      <c r="L8" s="1380" t="s">
        <v>562</v>
      </c>
      <c r="M8" s="553"/>
      <c r="N8" s="1382"/>
      <c r="O8" s="1382"/>
      <c r="P8" s="2273"/>
      <c r="Q8" s="2273"/>
      <c r="R8" s="373">
        <v>1</v>
      </c>
      <c r="S8" s="1325">
        <f>$K8</f>
      </c>
      <c r="T8" s="1363"/>
      <c r="U8" s="316"/>
      <c r="V8" s="767"/>
      <c r="W8" s="341"/>
      <c r="X8" s="767"/>
      <c r="Y8" s="1273"/>
      <c r="Z8" s="2281"/>
      <c r="AA8" s="2123" t="s">
        <v>64</v>
      </c>
      <c r="AB8" s="2281"/>
      <c r="AC8" s="2123" t="s">
        <v>64</v>
      </c>
      <c r="AD8" s="767"/>
      <c r="AE8" s="341"/>
      <c r="AF8" s="767"/>
      <c r="AG8" s="1273"/>
      <c r="AH8" s="2281"/>
      <c r="AI8" s="2123" t="s">
        <v>64</v>
      </c>
      <c r="AJ8" s="2281"/>
      <c r="AK8" s="2123" t="s">
        <v>64</v>
      </c>
      <c r="AL8" s="341"/>
      <c r="AM8" s="2269" t="s">
        <v>563</v>
      </c>
      <c r="AN8" s="527">
        <f>STRCHECKDATE(V9:AL9)</f>
      </c>
      <c r="AO8" s="516"/>
      <c r="AP8" s="516" t="str">
        <f>IF(T8="","",T8)</f>
        <v/>
      </c>
      <c r="AQ8" s="516"/>
      <c r="AR8" s="516"/>
      <c r="AS8" s="1171">
        <v>0</v>
      </c>
    </row>
    <row customHeight="1" ht="0.75" hidden="1">
      <c r="A9" s="1379"/>
      <c r="B9" s="1379"/>
      <c r="C9" s="1379"/>
      <c r="D9" s="1379"/>
      <c r="E9" s="2275"/>
      <c r="F9" s="2275"/>
      <c r="G9" s="2275"/>
      <c r="H9" s="2275"/>
      <c r="I9" s="2302"/>
      <c r="J9" s="2302"/>
      <c r="K9" s="2272"/>
      <c r="L9" s="1380"/>
      <c r="M9" s="553"/>
      <c r="N9" s="1382"/>
      <c r="O9" s="1382"/>
      <c r="P9" s="2273"/>
      <c r="Q9" s="2273"/>
      <c r="R9" s="373"/>
      <c r="S9" s="1322"/>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516"/>
      <c r="AP9" s="516" t="str">
        <f>IF(T9="","",T9)</f>
        <v/>
      </c>
      <c r="AQ9" s="516"/>
      <c r="AR9" s="516"/>
      <c r="AS9" s="1171">
        <v>0</v>
      </c>
    </row>
    <row customHeight="1" ht="15" hidden="1">
      <c r="A10" s="1379"/>
      <c r="B10" s="1379"/>
      <c r="C10" s="1379"/>
      <c r="D10" s="1379"/>
      <c r="E10" s="2275"/>
      <c r="F10" s="2275"/>
      <c r="G10" s="2275"/>
      <c r="H10" s="2275"/>
      <c r="I10" s="2302"/>
      <c r="J10" s="2272"/>
      <c r="K10" s="1379"/>
      <c r="L10" s="1380"/>
      <c r="M10" s="553"/>
      <c r="N10" s="1382"/>
      <c r="P10" s="2273"/>
      <c r="Q10" s="2273"/>
      <c r="R10" s="372"/>
      <c r="S10" s="1294"/>
      <c r="T10" s="304" t="s">
        <v>564</v>
      </c>
      <c r="U10" s="383"/>
      <c r="V10" s="383"/>
      <c r="W10" s="383"/>
      <c r="X10" s="383"/>
      <c r="Y10" s="383"/>
      <c r="Z10" s="383"/>
      <c r="AA10" s="383"/>
      <c r="AB10" s="383"/>
      <c r="AC10" s="383"/>
      <c r="AD10" s="383"/>
      <c r="AE10" s="383"/>
      <c r="AF10" s="383"/>
      <c r="AG10" s="383"/>
      <c r="AH10" s="383"/>
      <c r="AI10" s="383"/>
      <c r="AJ10" s="383"/>
      <c r="AK10" s="383"/>
      <c r="AL10" s="340"/>
      <c r="AM10" s="2271"/>
      <c r="AO10" s="516"/>
      <c r="AP10" s="516" t="str">
        <f>IF(T10="","",T10)</f>
        <v>Добавить вид теплоносителя (параметры теплоносителя)</v>
      </c>
      <c r="AQ10" s="516"/>
      <c r="AR10" s="516"/>
      <c r="AS10" s="1171">
        <v>0</v>
      </c>
    </row>
    <row customHeight="1" ht="15" hidden="1">
      <c r="A11" s="1379"/>
      <c r="B11" s="1379"/>
      <c r="C11" s="1379"/>
      <c r="D11" s="1379"/>
      <c r="E11" s="2275"/>
      <c r="F11" s="2275"/>
      <c r="G11" s="2275"/>
      <c r="H11" s="2275"/>
      <c r="I11" s="2272"/>
      <c r="J11" s="1379"/>
      <c r="K11" s="1379"/>
      <c r="L11" s="1380"/>
      <c r="M11" s="553"/>
      <c r="P11" s="2273"/>
      <c r="Q11" s="1321"/>
      <c r="R11" s="372"/>
      <c r="S11" s="1294"/>
      <c r="T11" s="303" t="s">
        <v>565</v>
      </c>
      <c r="U11" s="383"/>
      <c r="V11" s="383"/>
      <c r="W11" s="383"/>
      <c r="X11" s="383"/>
      <c r="Y11" s="383"/>
      <c r="Z11" s="383"/>
      <c r="AA11" s="383"/>
      <c r="AB11" s="383"/>
      <c r="AC11" s="382"/>
      <c r="AD11" s="383"/>
      <c r="AE11" s="383"/>
      <c r="AF11" s="383"/>
      <c r="AG11" s="383"/>
      <c r="AH11" s="383"/>
      <c r="AI11" s="383"/>
      <c r="AJ11" s="383"/>
      <c r="AK11" s="382"/>
      <c r="AL11" s="383"/>
      <c r="AM11" s="319"/>
      <c r="AO11" s="516"/>
      <c r="AP11" s="516" t="str">
        <f>IF(T11="","",T11)</f>
        <v>Добавить группу потребителей</v>
      </c>
      <c r="AQ11" s="516"/>
      <c r="AR11" s="516"/>
      <c r="AS11" s="1171">
        <v>0</v>
      </c>
    </row>
    <row customHeight="1" ht="14.25" hidden="1">
      <c r="A12" s="1379"/>
      <c r="B12" s="1379"/>
      <c r="C12" s="1379"/>
      <c r="D12" s="1379"/>
      <c r="E12" s="2275"/>
      <c r="F12" s="2275"/>
      <c r="G12" s="2275"/>
      <c r="H12" s="2274"/>
      <c r="I12" s="1379"/>
      <c r="J12" s="1379"/>
      <c r="K12" s="1379"/>
      <c r="L12" s="1380"/>
      <c r="M12" s="1381"/>
      <c r="N12" s="1381"/>
      <c r="O12" s="553"/>
      <c r="P12" s="376"/>
      <c r="Q12" s="391"/>
      <c r="R12" s="371"/>
      <c r="S12" s="1294"/>
      <c r="T12" s="381" t="s">
        <v>566</v>
      </c>
      <c r="U12" s="383"/>
      <c r="V12" s="383"/>
      <c r="W12" s="383"/>
      <c r="X12" s="383"/>
      <c r="Y12" s="383"/>
      <c r="Z12" s="383"/>
      <c r="AA12" s="383"/>
      <c r="AB12" s="383"/>
      <c r="AC12" s="382"/>
      <c r="AD12" s="383"/>
      <c r="AE12" s="383"/>
      <c r="AF12" s="383"/>
      <c r="AG12" s="383"/>
      <c r="AH12" s="383"/>
      <c r="AI12" s="383"/>
      <c r="AJ12" s="383"/>
      <c r="AK12" s="382"/>
      <c r="AL12" s="383"/>
      <c r="AM12" s="319"/>
      <c r="AO12" s="516"/>
      <c r="AP12" s="516" t="str">
        <f>IF(T12="","",T12)</f>
        <v>Добавить схему подключения</v>
      </c>
      <c r="AQ12" s="516"/>
      <c r="AR12" s="516"/>
      <c r="AS12" s="1171">
        <v>0</v>
      </c>
    </row>
    <row s="1658" customFormat="1" customHeight="1" ht="0.75" hidden="1">
      <c r="A13" s="1330"/>
      <c r="B13" s="1330"/>
      <c r="C13" s="1330"/>
      <c r="D13" s="1330"/>
      <c r="E13" s="2275"/>
      <c r="F13" s="2275"/>
      <c r="G13" s="2274"/>
      <c r="H13" s="1330"/>
      <c r="I13" s="1330"/>
      <c r="J13" s="1330"/>
      <c r="K13" s="1330"/>
      <c r="L13" s="1355"/>
      <c r="M13" s="1331"/>
      <c r="N13" s="133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805"/>
      <c r="AP13" s="805" t="str">
        <f>IF(T13="","",T13)</f>
        <v>Добавить источник для дифференциации</v>
      </c>
      <c r="AQ13" s="805"/>
      <c r="AR13" s="805"/>
      <c r="AS13" s="534">
        <v>0</v>
      </c>
    </row>
    <row s="1658" customFormat="1" customHeight="1" ht="0.75" hidden="1">
      <c r="A14" s="1330"/>
      <c r="B14" s="1330"/>
      <c r="C14" s="1330"/>
      <c r="D14" s="1330"/>
      <c r="E14" s="2275"/>
      <c r="F14" s="2274"/>
      <c r="G14" s="1330"/>
      <c r="H14" s="1330"/>
      <c r="I14" s="1330"/>
      <c r="J14" s="1330"/>
      <c r="K14" s="1330"/>
      <c r="L14" s="1355"/>
      <c r="M14" s="1337"/>
      <c r="N14" s="133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805"/>
      <c r="AP14" s="805" t="str">
        <f>IF(T14="","",T14)</f>
        <v>Добавить централизованную систему для дифференциации</v>
      </c>
      <c r="AQ14" s="805"/>
      <c r="AR14" s="805"/>
      <c r="AS14" s="534">
        <v>0</v>
      </c>
    </row>
    <row s="1658" customFormat="1" customHeight="1" ht="0.75" hidden="1">
      <c r="A15" s="1330"/>
      <c r="B15" s="1330"/>
      <c r="C15" s="1330"/>
      <c r="D15" s="1330"/>
      <c r="E15" s="2274"/>
      <c r="F15" s="1330"/>
      <c r="G15" s="1330"/>
      <c r="H15" s="1330"/>
      <c r="I15" s="1330"/>
      <c r="J15" s="1330"/>
      <c r="K15" s="1330"/>
      <c r="L15" s="1355"/>
      <c r="M15" s="1337"/>
      <c r="N15" s="133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805"/>
      <c r="AP15" s="805" t="str">
        <f>IF(T15="","",T15)</f>
        <v>Добавить территорию для дифференциации</v>
      </c>
      <c r="AQ15" s="805"/>
      <c r="AR15" s="805"/>
      <c r="AS15" s="534">
        <v>0</v>
      </c>
    </row>
    <row customHeight="1" ht="14.25" hidden="1">
      <c r="AC16" s="343"/>
      <c r="AK16" s="343"/>
      <c r="AS16" s="1171">
        <v>0</v>
      </c>
    </row>
    <row customHeight="1" ht="14.25" hidden="1">
      <c r="P17" s="1327"/>
      <c r="AD17" s="1376"/>
      <c r="AE17" s="1376"/>
      <c r="AF17" s="1376"/>
      <c r="AG17" s="1377"/>
      <c r="AH17" s="2283"/>
      <c r="AI17" s="2284" t="s">
        <v>64</v>
      </c>
      <c r="AJ17" s="2283"/>
      <c r="AK17" s="2284" t="s">
        <v>64</v>
      </c>
      <c r="AS17" s="1171">
        <v>0</v>
      </c>
    </row>
    <row customHeight="1" ht="14.25" hidden="1">
      <c r="P18" s="1327"/>
      <c r="AD18" s="1376"/>
      <c r="AE18" s="1376"/>
      <c r="AF18" s="1376"/>
      <c r="AG18" s="344" t="str">
        <f>AH17&amp;"-"&amp;AJ17</f>
        <v>-</v>
      </c>
      <c r="AH18" s="2284"/>
      <c r="AI18" s="2284"/>
      <c r="AJ18" s="2284"/>
      <c r="AK18" s="2284"/>
      <c r="AS18" s="1171">
        <v>0</v>
      </c>
    </row>
    <row customHeight="1" ht="14.25" hidden="1">
      <c r="P19" s="1327"/>
      <c r="AK19" s="343"/>
      <c r="AS19" s="1171">
        <v>0</v>
      </c>
    </row>
    <row s="1382" customFormat="1" customHeight="1" ht="22.5" hidden="1">
      <c r="L20" s="1345"/>
      <c r="M20" s="1378"/>
      <c r="N20" s="1378"/>
      <c r="O20" s="1383" t="s">
        <v>567</v>
      </c>
      <c r="P20" s="1378"/>
      <c r="Q20" s="1387"/>
      <c r="R20" s="1387"/>
      <c r="S20" s="745"/>
      <c r="Z20" s="1383"/>
      <c r="AB20" s="1383"/>
      <c r="AC20" s="1382"/>
      <c r="AH20" s="1383"/>
      <c r="AJ20" s="1383"/>
      <c r="AK20" s="1382"/>
      <c r="AN20" s="527"/>
      <c r="AO20" s="527"/>
      <c r="AP20" s="527"/>
      <c r="AQ20" s="527"/>
      <c r="AR20" s="527"/>
      <c r="AS20" s="1176">
        <v>0</v>
      </c>
    </row>
    <row s="1382" customFormat="1" customHeight="1" ht="14.25" hidden="1">
      <c r="L21" s="1345"/>
      <c r="M21" s="1378"/>
      <c r="N21" s="1378"/>
      <c r="O21" s="1378"/>
      <c r="P21" s="1378"/>
      <c r="Q21" s="1387"/>
      <c r="R21" s="1387"/>
      <c r="S21" s="745"/>
      <c r="AC21" s="1382"/>
      <c r="AK21" s="1382"/>
      <c r="AN21" s="527"/>
      <c r="AO21" s="527"/>
      <c r="AP21" s="527"/>
      <c r="AQ21" s="527"/>
      <c r="AR21" s="527"/>
      <c r="AS21" s="1176">
        <v>0</v>
      </c>
    </row>
    <row s="1382" customFormat="1" customHeight="1" ht="14.25" hidden="1">
      <c r="L22" s="1345"/>
      <c r="M22" s="1378"/>
      <c r="N22" s="1378"/>
      <c r="O22" s="1380" t="s">
        <v>568</v>
      </c>
      <c r="P22" s="1378"/>
      <c r="Q22" s="1387"/>
      <c r="R22" s="1387"/>
      <c r="S22" s="745"/>
      <c r="T22" s="1176" t="s">
        <v>569</v>
      </c>
      <c r="AA22" s="202" t="s">
        <v>570</v>
      </c>
      <c r="AC22" s="202" t="s">
        <v>571</v>
      </c>
      <c r="AD22" s="1176" t="s">
        <v>569</v>
      </c>
      <c r="AI22" s="202" t="s">
        <v>572</v>
      </c>
      <c r="AK22" s="202" t="s">
        <v>571</v>
      </c>
      <c r="AN22" s="527"/>
      <c r="AO22" s="527"/>
      <c r="AP22" s="527"/>
      <c r="AQ22" s="527"/>
      <c r="AR22" s="527"/>
      <c r="AS22" s="1176">
        <v>0</v>
      </c>
    </row>
    <row customHeight="1" ht="14.25" hidden="1">
      <c r="O23" s="1380"/>
      <c r="P23" s="1327"/>
      <c r="AS23" s="1171">
        <v>0</v>
      </c>
    </row>
    <row customHeight="1" ht="14.25" hidden="1">
      <c r="O24" s="1380"/>
      <c r="P24" s="1327"/>
      <c r="AS24" s="1171">
        <v>0</v>
      </c>
    </row>
    <row customHeight="1" ht="14.699999999999998">
      <c r="Q25" s="392"/>
      <c r="R25" s="392"/>
      <c r="S25" s="1291"/>
      <c r="T25" s="379"/>
      <c r="U25" s="379"/>
      <c r="V25" s="525"/>
      <c r="W25" s="525"/>
      <c r="X25" s="525"/>
      <c r="Y25" s="525"/>
      <c r="Z25" s="525"/>
      <c r="AA25" s="525"/>
      <c r="AB25" s="525"/>
      <c r="AC25" s="525"/>
      <c r="AD25" s="525"/>
      <c r="AE25" s="525"/>
      <c r="AF25" s="525"/>
      <c r="AG25" s="525"/>
      <c r="AH25" s="525"/>
      <c r="AI25" s="525"/>
      <c r="AJ25" s="525"/>
      <c r="AK25" s="525"/>
      <c r="AS25" s="1171">
        <v>14</v>
      </c>
    </row>
    <row customHeight="1" ht="14.699999999999998">
      <c r="Q26" s="392"/>
      <c r="R26" s="392"/>
      <c r="S26" s="2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4"/>
      <c r="U26" s="2264"/>
      <c r="V26" s="2264"/>
      <c r="W26" s="2264"/>
      <c r="X26" s="2264"/>
      <c r="Y26" s="2264"/>
      <c r="Z26" s="2264"/>
      <c r="AA26" s="2264"/>
      <c r="AB26" s="2264"/>
      <c r="AC26" s="2264"/>
      <c r="AD26" s="2264"/>
      <c r="AE26" s="2264"/>
      <c r="AF26" s="2264"/>
      <c r="AG26" s="2264"/>
      <c r="AH26" s="2264"/>
      <c r="AI26" s="2264"/>
      <c r="AJ26" s="2264"/>
      <c r="AK26" s="1259"/>
      <c r="AS26" s="1171">
        <v>14</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171">
        <v>14</v>
      </c>
    </row>
    <row customHeight="1" ht="14.25">
      <c r="Q28" s="392"/>
      <c r="R28" s="392"/>
      <c r="S28" s="1291"/>
      <c r="T28" s="379"/>
      <c r="U28" s="379"/>
      <c r="V28" s="338"/>
      <c r="W28" s="338"/>
      <c r="X28" s="338"/>
      <c r="Y28" s="338"/>
      <c r="Z28" s="338"/>
      <c r="AA28" s="338"/>
      <c r="AB28" s="338"/>
      <c r="AC28" s="338"/>
      <c r="AD28" s="338"/>
      <c r="AE28" s="338"/>
      <c r="AF28" s="338"/>
      <c r="AG28" s="338"/>
      <c r="AH28" s="338"/>
      <c r="AI28" s="338"/>
      <c r="AJ28" s="338"/>
      <c r="AK28" s="338"/>
      <c r="AL28" s="525"/>
      <c r="AS28" s="1171">
        <v>0</v>
      </c>
    </row>
    <row s="1869" customFormat="1" customHeight="1" ht="25.5">
      <c r="A29" s="1384"/>
      <c r="B29" s="1384"/>
      <c r="C29" s="1384"/>
      <c r="D29" s="1384"/>
      <c r="E29" s="1384"/>
      <c r="F29" s="1384"/>
      <c r="G29" s="1384"/>
      <c r="H29" s="1384"/>
      <c r="I29" s="1384"/>
      <c r="J29" s="1384"/>
      <c r="K29" s="1384"/>
      <c r="L29" s="1385"/>
      <c r="M29" s="1384"/>
      <c r="N29" s="1384"/>
      <c r="O29" s="138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342"/>
      <c r="AD29" s="2267" t="str">
        <f>IF(TITLE_NAME_OR_PR_CHANGE="",IF(TITLE_NAME_OR_PR="","",TITLE_NAME_OR_PR),TITLE_NAME_OR_PR_CHANGE)</f>
        <v>Агентство по тарифам Приморского края</v>
      </c>
      <c r="AE29" s="2267"/>
      <c r="AF29" s="2267"/>
      <c r="AG29" s="2267"/>
      <c r="AH29" s="2267"/>
      <c r="AI29" s="2267"/>
      <c r="AJ29" s="2267"/>
      <c r="AK29" s="342"/>
      <c r="AL29" s="342"/>
      <c r="AM29" s="296"/>
      <c r="AN29" s="384"/>
      <c r="AO29" s="384"/>
      <c r="AP29" s="384"/>
      <c r="AQ29" s="384"/>
      <c r="AR29" s="384"/>
      <c r="AS29" s="434">
        <v>0</v>
      </c>
    </row>
    <row s="1869" customFormat="1" customHeight="1" ht="18.75">
      <c r="A30" s="1384"/>
      <c r="B30" s="1384"/>
      <c r="C30" s="1384"/>
      <c r="D30" s="1384"/>
      <c r="E30" s="1384"/>
      <c r="F30" s="1384"/>
      <c r="G30" s="1384"/>
      <c r="H30" s="1384"/>
      <c r="I30" s="1384"/>
      <c r="J30" s="1384"/>
      <c r="K30" s="1384"/>
      <c r="L30" s="1385"/>
      <c r="M30" s="1384"/>
      <c r="N30" s="1384"/>
      <c r="O30" s="1384"/>
      <c r="S30" s="2266" t="s">
        <v>573</v>
      </c>
      <c r="T30" s="2266"/>
      <c r="U30" s="1388"/>
      <c r="V30" s="2280" t="str">
        <f>IF(TITLE_DATE_PR_CHANGE="",IF(TITLE_DATE_PR="","",TITLE_DATE_PR),TITLE_DATE_PR_CHANGE)</f>
        <v>45910</v>
      </c>
      <c r="W30" s="2280"/>
      <c r="X30" s="2280"/>
      <c r="Y30" s="2280"/>
      <c r="Z30" s="2280"/>
      <c r="AA30" s="2280"/>
      <c r="AB30" s="2280"/>
      <c r="AC30" s="342"/>
      <c r="AD30" s="2280" t="str">
        <f>IF(TITLE_DATE_PR_CHANGE="",IF(TITLE_DATE_PR="","",TITLE_DATE_PR),TITLE_DATE_PR_CHANGE)</f>
        <v>45910</v>
      </c>
      <c r="AE30" s="2280"/>
      <c r="AF30" s="2280"/>
      <c r="AG30" s="2280"/>
      <c r="AH30" s="2280"/>
      <c r="AI30" s="2280"/>
      <c r="AJ30" s="2280"/>
      <c r="AK30" s="342"/>
      <c r="AL30" s="342"/>
      <c r="AM30" s="296"/>
      <c r="AN30" s="384"/>
      <c r="AO30" s="384"/>
      <c r="AP30" s="384"/>
      <c r="AQ30" s="384"/>
      <c r="AR30" s="384"/>
      <c r="AS30" s="434">
        <v>0</v>
      </c>
    </row>
    <row s="1869" customFormat="1" customHeight="1" ht="18.75">
      <c r="A31" s="1384"/>
      <c r="B31" s="1384"/>
      <c r="C31" s="1384"/>
      <c r="D31" s="1384"/>
      <c r="E31" s="1384"/>
      <c r="F31" s="1384"/>
      <c r="G31" s="1384"/>
      <c r="H31" s="1384"/>
      <c r="I31" s="1384"/>
      <c r="J31" s="1384"/>
      <c r="K31" s="1384"/>
      <c r="L31" s="1385"/>
      <c r="M31" s="1384"/>
      <c r="N31" s="1384"/>
      <c r="O31" s="1384"/>
      <c r="S31" s="2266" t="s">
        <v>574</v>
      </c>
      <c r="T31" s="2266"/>
      <c r="U31" s="1388"/>
      <c r="V31" s="2267" t="str">
        <f>IF(TITLE_NUMBER_PR_CHANGE="",IF(TITLE_NUMBER_PR="","",TITLE_NUMBER_PR),TITLE_NUMBER_PR_CHANGE)</f>
        <v>37/2</v>
      </c>
      <c r="W31" s="2267"/>
      <c r="X31" s="2267"/>
      <c r="Y31" s="2267"/>
      <c r="Z31" s="2267"/>
      <c r="AA31" s="2267"/>
      <c r="AB31" s="2267"/>
      <c r="AC31" s="342"/>
      <c r="AD31" s="2267" t="str">
        <f>IF(TITLE_NUMBER_PR_CHANGE="",IF(TITLE_NUMBER_PR="","",TITLE_NUMBER_PR),TITLE_NUMBER_PR_CHANGE)</f>
        <v>37/2</v>
      </c>
      <c r="AE31" s="2267"/>
      <c r="AF31" s="2267"/>
      <c r="AG31" s="2267"/>
      <c r="AH31" s="2267"/>
      <c r="AI31" s="2267"/>
      <c r="AJ31" s="2267"/>
      <c r="AK31" s="342"/>
      <c r="AL31" s="342"/>
      <c r="AM31" s="296"/>
      <c r="AN31" s="384"/>
      <c r="AO31" s="384"/>
      <c r="AP31" s="384"/>
      <c r="AQ31" s="384"/>
      <c r="AR31" s="384"/>
      <c r="AS31" s="434">
        <v>0</v>
      </c>
    </row>
    <row s="1869" customFormat="1" customHeight="1" ht="18.75">
      <c r="A32" s="1384"/>
      <c r="B32" s="1384"/>
      <c r="C32" s="1384"/>
      <c r="D32" s="1384"/>
      <c r="E32" s="1384"/>
      <c r="F32" s="1384"/>
      <c r="G32" s="1384"/>
      <c r="H32" s="1384"/>
      <c r="I32" s="1384"/>
      <c r="J32" s="1384"/>
      <c r="K32" s="1384"/>
      <c r="L32" s="1385"/>
      <c r="M32" s="1384"/>
      <c r="N32" s="1384"/>
      <c r="O32" s="1384"/>
      <c r="S32" s="2266" t="s">
        <v>44</v>
      </c>
      <c r="T32" s="2266"/>
      <c r="U32" s="1388"/>
      <c r="V32" s="2267" t="str">
        <f>IF(TITLE_IST_PUB_CHANGE="",IF(TITLE_IST_PUB="","",TITLE_IST_PUB),TITLE_IST_PUB_CHANGE)</f>
        <v>http://pravo.gov.ru</v>
      </c>
      <c r="W32" s="2267"/>
      <c r="X32" s="2267"/>
      <c r="Y32" s="2267"/>
      <c r="Z32" s="2267"/>
      <c r="AA32" s="2267"/>
      <c r="AB32" s="2267"/>
      <c r="AC32" s="342"/>
      <c r="AD32" s="2267" t="str">
        <f>IF(TITLE_IST_PUB_CHANGE="",IF(TITLE_IST_PUB="","",TITLE_IST_PUB),TITLE_IST_PUB_CHANGE)</f>
        <v>http://pravo.gov.ru</v>
      </c>
      <c r="AE32" s="2267"/>
      <c r="AF32" s="2267"/>
      <c r="AG32" s="2267"/>
      <c r="AH32" s="2267"/>
      <c r="AI32" s="2267"/>
      <c r="AJ32" s="2267"/>
      <c r="AK32" s="342"/>
      <c r="AL32" s="342"/>
      <c r="AM32" s="296"/>
      <c r="AN32" s="384"/>
      <c r="AO32" s="384"/>
      <c r="AP32" s="384"/>
      <c r="AQ32" s="384"/>
      <c r="AR32" s="384"/>
      <c r="AS32" s="434">
        <v>0</v>
      </c>
    </row>
    <row customHeight="1" ht="14.25" hidden="1">
      <c r="P33" s="1344"/>
      <c r="Q33" s="392"/>
      <c r="R33" s="392"/>
      <c r="S33" s="1291"/>
      <c r="T33" s="379"/>
      <c r="U33" s="379"/>
      <c r="V33" s="338"/>
      <c r="W33" s="338"/>
      <c r="X33" s="338"/>
      <c r="Y33" s="338"/>
      <c r="Z33" s="338"/>
      <c r="AA33" s="338"/>
      <c r="AB33" s="338"/>
      <c r="AC33" s="338"/>
      <c r="AD33" s="338"/>
      <c r="AE33" s="338"/>
      <c r="AF33" s="338"/>
      <c r="AG33" s="338"/>
      <c r="AH33" s="338"/>
      <c r="AI33" s="338"/>
      <c r="AJ33" s="338"/>
      <c r="AK33" s="338"/>
      <c r="AL33" s="525"/>
      <c r="AS33" s="1171">
        <v>0</v>
      </c>
    </row>
    <row s="1869" customFormat="1" customHeight="1" ht="18.75" hidden="1">
      <c r="A34" s="1384"/>
      <c r="B34" s="1384"/>
      <c r="C34" s="1384"/>
      <c r="D34" s="1384"/>
      <c r="E34" s="1384"/>
      <c r="F34" s="1384"/>
      <c r="G34" s="1384"/>
      <c r="H34" s="1384"/>
      <c r="I34" s="1384"/>
      <c r="J34" s="1384"/>
      <c r="K34" s="1384"/>
      <c r="L34" s="1385"/>
      <c r="M34" s="1384"/>
      <c r="N34" s="1384"/>
      <c r="O34" s="1384"/>
      <c r="S34" s="2266" t="s">
        <v>575</v>
      </c>
      <c r="T34" s="2266"/>
      <c r="U34" s="1388"/>
      <c r="V34" s="2280" t="str">
        <f>IF(TITLE_DATE_PR_CHANGE="",IF(TITLE_DATE_PR="","",TITLE_DATE_PR),TITLE_DATE_PR_CHANGE)</f>
        <v>45910</v>
      </c>
      <c r="W34" s="2280"/>
      <c r="X34" s="2280"/>
      <c r="Y34" s="2280"/>
      <c r="Z34" s="2280"/>
      <c r="AA34" s="2280"/>
      <c r="AB34" s="2280"/>
      <c r="AC34" s="342"/>
      <c r="AD34" s="2280" t="str">
        <f>IF(TITLE_DATE_PR_CHANGE="",IF(TITLE_DATE_PR="","",TITLE_DATE_PR),TITLE_DATE_PR_CHANGE)</f>
        <v>45910</v>
      </c>
      <c r="AE34" s="2280"/>
      <c r="AF34" s="2280"/>
      <c r="AG34" s="2280"/>
      <c r="AH34" s="2280"/>
      <c r="AI34" s="2280"/>
      <c r="AJ34" s="2280"/>
      <c r="AK34" s="342"/>
      <c r="AL34" s="342"/>
      <c r="AM34" s="296"/>
      <c r="AN34" s="384"/>
      <c r="AO34" s="384"/>
      <c r="AP34" s="384"/>
      <c r="AQ34" s="384"/>
      <c r="AR34" s="384"/>
      <c r="AS34" s="434">
        <v>0</v>
      </c>
    </row>
    <row s="1869" customFormat="1" customHeight="1" ht="18.75" hidden="1">
      <c r="A35" s="1384"/>
      <c r="B35" s="1384"/>
      <c r="C35" s="1384"/>
      <c r="D35" s="1384"/>
      <c r="E35" s="1384"/>
      <c r="F35" s="1384"/>
      <c r="G35" s="1384"/>
      <c r="H35" s="1384"/>
      <c r="I35" s="1384"/>
      <c r="J35" s="1384"/>
      <c r="K35" s="1384"/>
      <c r="L35" s="1385"/>
      <c r="M35" s="1384"/>
      <c r="N35" s="1384"/>
      <c r="O35" s="1384"/>
      <c r="S35" s="2266" t="s">
        <v>576</v>
      </c>
      <c r="T35" s="2266"/>
      <c r="U35" s="1388"/>
      <c r="V35" s="2267" t="str">
        <f>IF(TITLE_NUMBER_PR_CHANGE="",IF(TITLE_NUMBER_PR="","",TITLE_NUMBER_PR),TITLE_NUMBER_PR_CHANGE)</f>
        <v>37/2</v>
      </c>
      <c r="W35" s="2267"/>
      <c r="X35" s="2267"/>
      <c r="Y35" s="2267"/>
      <c r="Z35" s="2267"/>
      <c r="AA35" s="2267"/>
      <c r="AB35" s="2267"/>
      <c r="AC35" s="342"/>
      <c r="AD35" s="2267" t="str">
        <f>IF(TITLE_NUMBER_PR_CHANGE="",IF(TITLE_NUMBER_PR="","",TITLE_NUMBER_PR),TITLE_NUMBER_PR_CHANGE)</f>
        <v>37/2</v>
      </c>
      <c r="AE35" s="2267"/>
      <c r="AF35" s="2267"/>
      <c r="AG35" s="2267"/>
      <c r="AH35" s="2267"/>
      <c r="AI35" s="2267"/>
      <c r="AJ35" s="2267"/>
      <c r="AK35" s="342"/>
      <c r="AL35" s="342"/>
      <c r="AM35" s="296"/>
      <c r="AN35" s="384"/>
      <c r="AO35" s="384"/>
      <c r="AP35" s="384"/>
      <c r="AQ35" s="384"/>
      <c r="AR35" s="384"/>
      <c r="AS35" s="434">
        <v>0</v>
      </c>
    </row>
    <row s="1869" customFormat="1" customHeight="1" ht="0">
      <c r="A36" s="1384"/>
      <c r="B36" s="1384"/>
      <c r="C36" s="1384"/>
      <c r="D36" s="1384"/>
      <c r="E36" s="1384"/>
      <c r="F36" s="1384"/>
      <c r="G36" s="1384"/>
      <c r="H36" s="1384"/>
      <c r="I36" s="1384"/>
      <c r="J36" s="1384"/>
      <c r="K36" s="1384"/>
      <c r="L36" s="1385"/>
      <c r="M36" s="1384"/>
      <c r="N36" s="1384"/>
      <c r="O36" s="1384"/>
      <c r="S36" s="339"/>
      <c r="T36" s="339"/>
      <c r="U36" s="1235"/>
      <c r="V36" s="342"/>
      <c r="W36" s="342"/>
      <c r="X36" s="342"/>
      <c r="Y36" s="342"/>
      <c r="Z36" s="342"/>
      <c r="AA36" s="342"/>
      <c r="AB36" s="342"/>
      <c r="AC36" s="294" t="s">
        <v>577</v>
      </c>
      <c r="AD36" s="342"/>
      <c r="AE36" s="342"/>
      <c r="AF36" s="342"/>
      <c r="AG36" s="342"/>
      <c r="AH36" s="342"/>
      <c r="AI36" s="342"/>
      <c r="AJ36" s="342"/>
      <c r="AK36" s="294" t="s">
        <v>577</v>
      </c>
      <c r="AN36" s="384"/>
      <c r="AO36" s="384"/>
      <c r="AP36" s="384"/>
      <c r="AQ36" s="384"/>
      <c r="AR36" s="384"/>
      <c r="AS36" s="434">
        <v>0</v>
      </c>
    </row>
    <row customHeight="1" ht="14.699999999999998">
      <c r="Q37" s="392"/>
      <c r="R37" s="392"/>
      <c r="S37" s="1291"/>
      <c r="T37" s="379"/>
      <c r="U37" s="1260"/>
      <c r="V37" s="2268"/>
      <c r="W37" s="2268"/>
      <c r="X37" s="2268"/>
      <c r="Y37" s="2268"/>
      <c r="Z37" s="2268"/>
      <c r="AA37" s="2268"/>
      <c r="AB37" s="2268"/>
      <c r="AC37" s="2268"/>
      <c r="AD37" s="2268"/>
      <c r="AE37" s="2268"/>
      <c r="AF37" s="2268"/>
      <c r="AG37" s="2268"/>
      <c r="AH37" s="2268"/>
      <c r="AI37" s="2268"/>
      <c r="AJ37" s="2268"/>
      <c r="AK37" s="2268"/>
      <c r="AS37" s="1171">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171">
        <v>14</v>
      </c>
    </row>
    <row customHeight="1" ht="14.699999999999998">
      <c r="Q39" s="392"/>
      <c r="R39" s="392"/>
      <c r="S39" s="2289" t="s">
        <v>91</v>
      </c>
      <c r="T39" s="2225" t="s">
        <v>578</v>
      </c>
      <c r="U39" s="317"/>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171">
        <v>14</v>
      </c>
    </row>
    <row customHeight="1" ht="35.699999999999996">
      <c r="Q40" s="392"/>
      <c r="R40" s="392"/>
      <c r="S40" s="2289"/>
      <c r="T40" s="2225"/>
      <c r="U40" s="1047"/>
      <c r="V40" s="2276" t="s">
        <v>583</v>
      </c>
      <c r="W40" s="2626" t="s">
        <v>584</v>
      </c>
      <c r="X40" s="2278" t="s">
        <v>585</v>
      </c>
      <c r="Y40" s="2279"/>
      <c r="Z40" s="2278" t="s">
        <v>586</v>
      </c>
      <c r="AA40" s="2285"/>
      <c r="AB40" s="2279"/>
      <c r="AC40" s="2294"/>
      <c r="AD40" s="2276" t="s">
        <v>583</v>
      </c>
      <c r="AE40" s="2299" t="s">
        <v>584</v>
      </c>
      <c r="AF40" s="2278" t="s">
        <v>585</v>
      </c>
      <c r="AG40" s="2279"/>
      <c r="AH40" s="2278" t="s">
        <v>586</v>
      </c>
      <c r="AI40" s="2285"/>
      <c r="AJ40" s="2279"/>
      <c r="AK40" s="2294"/>
      <c r="AL40" s="2297"/>
      <c r="AM40" s="2143"/>
      <c r="AS40" s="1171">
        <v>34</v>
      </c>
    </row>
    <row customHeight="1" ht="35.699999999999996">
      <c r="A41" s="1386"/>
      <c r="B41" s="1386" t="s">
        <v>204</v>
      </c>
      <c r="C41" s="1386" t="s">
        <v>205</v>
      </c>
      <c r="D41" s="1386" t="s">
        <v>206</v>
      </c>
      <c r="E41" s="1380" t="s">
        <v>587</v>
      </c>
      <c r="F41" s="1380" t="s">
        <v>588</v>
      </c>
      <c r="G41" s="1380" t="s">
        <v>589</v>
      </c>
      <c r="H41" s="1380" t="s">
        <v>590</v>
      </c>
      <c r="I41" s="1380" t="s">
        <v>591</v>
      </c>
      <c r="J41" s="1380" t="s">
        <v>592</v>
      </c>
      <c r="K41" s="1380" t="s">
        <v>593</v>
      </c>
      <c r="L41" s="1380" t="s">
        <v>568</v>
      </c>
      <c r="Q41" s="392"/>
      <c r="R41" s="392"/>
      <c r="S41" s="2289"/>
      <c r="T41" s="2225"/>
      <c r="U41" s="318"/>
      <c r="V41" s="2277"/>
      <c r="W41" s="2300"/>
      <c r="X41" s="1238" t="s">
        <v>594</v>
      </c>
      <c r="Y41" s="1238" t="s">
        <v>595</v>
      </c>
      <c r="Z41" s="1237" t="s">
        <v>596</v>
      </c>
      <c r="AA41" s="2286" t="s">
        <v>597</v>
      </c>
      <c r="AB41" s="2287"/>
      <c r="AC41" s="2295"/>
      <c r="AD41" s="2277"/>
      <c r="AE41" s="2300"/>
      <c r="AF41" s="1238" t="s">
        <v>594</v>
      </c>
      <c r="AG41" s="1238" t="s">
        <v>595</v>
      </c>
      <c r="AH41" s="1329" t="s">
        <v>596</v>
      </c>
      <c r="AI41" s="2286" t="s">
        <v>597</v>
      </c>
      <c r="AJ41" s="2287"/>
      <c r="AK41" s="2295"/>
      <c r="AL41" s="2298"/>
      <c r="AM41" s="2143"/>
      <c r="AS41" s="1171">
        <v>34</v>
      </c>
    </row>
    <row s="1657" customFormat="1" customHeight="1" ht="11.25" hidden="1">
      <c r="A42" s="1386"/>
      <c r="B42" s="1386"/>
      <c r="C42" s="1386"/>
      <c r="D42" s="1386"/>
      <c r="E42" s="1386"/>
      <c r="F42" s="1386"/>
      <c r="G42" s="1386"/>
      <c r="H42" s="1386"/>
      <c r="I42" s="1386"/>
      <c r="J42" s="1386"/>
      <c r="K42" s="1386"/>
      <c r="L42" s="1380"/>
      <c r="M42" s="1378"/>
      <c r="N42" s="1378"/>
      <c r="O42" s="1378"/>
      <c r="P42" s="1262"/>
      <c r="Q42" s="1263"/>
      <c r="R42" s="1270">
        <v>1</v>
      </c>
      <c r="S42" s="1293" t="s">
        <v>141</v>
      </c>
      <c r="T42" s="1271" t="s">
        <v>107</v>
      </c>
      <c r="U42" s="1261" t="str">
        <f>OFFSET(U42,0,-1)</f>
        <v>2</v>
      </c>
      <c r="V42" s="1272">
        <f>OFFSET(V42,0,-1)+1</f>
        <v>3</v>
      </c>
      <c r="W42" s="1272"/>
      <c r="X42" s="1272">
        <f>OFFSET(X42,0,-1)+1</f>
        <v>1</v>
      </c>
      <c r="Y42" s="1272">
        <f>OFFSET(Y42,0,-1)+1</f>
        <v>2</v>
      </c>
      <c r="Z42" s="1272">
        <f>OFFSET(Z42,0,-1)+1</f>
        <v>3</v>
      </c>
      <c r="AA42" s="2288">
        <f>OFFSET(AA42,0,-1)+1</f>
        <v>4</v>
      </c>
      <c r="AB42" s="2288"/>
      <c r="AC42" s="1272">
        <f>OFFSET(AC42,0,-2)+1</f>
        <v>5</v>
      </c>
      <c r="AD42" s="1328">
        <f>OFFSET(AD42,0,-1)+1</f>
        <v>6</v>
      </c>
      <c r="AE42" s="1328"/>
      <c r="AF42" s="1328">
        <f>OFFSET(AF42,0,-1)+1</f>
        <v>1</v>
      </c>
      <c r="AG42" s="1328">
        <f>OFFSET(AG42,0,-1)+1</f>
        <v>2</v>
      </c>
      <c r="AH42" s="1328">
        <f>OFFSET(AH42,0,-1)+1</f>
        <v>3</v>
      </c>
      <c r="AI42" s="2288">
        <f>OFFSET(AI42,0,-1)+1</f>
        <v>4</v>
      </c>
      <c r="AJ42" s="2288"/>
      <c r="AK42" s="1328">
        <f>OFFSET(AK42,0,-2)+1</f>
        <v>5</v>
      </c>
      <c r="AL42" s="1261">
        <f>OFFSET(AL42,0,-1)</f>
        <v>5</v>
      </c>
      <c r="AM42" s="1272">
        <f>OFFSET(AM42,0,-1)+1</f>
        <v>6</v>
      </c>
      <c r="AN42" s="527"/>
      <c r="AO42" s="527"/>
      <c r="AP42" s="527"/>
      <c r="AQ42" s="527"/>
      <c r="AR42" s="527"/>
      <c r="AS42" s="512">
        <v>0</v>
      </c>
    </row>
    <row customHeight="1" ht="24">
      <c r="A43" s="1379" t="s">
        <v>219</v>
      </c>
      <c r="B43" s="1379"/>
      <c r="C43" s="1379"/>
      <c r="D43" s="1379"/>
      <c r="E43" s="2274">
        <v>1</v>
      </c>
      <c r="F43" s="1379"/>
      <c r="G43" s="1379"/>
      <c r="H43" s="1379"/>
      <c r="I43" s="1379"/>
      <c r="J43" s="1379"/>
      <c r="K43" s="1379"/>
      <c r="L43" s="1380"/>
      <c r="M43" s="1381"/>
      <c r="N43" s="1381"/>
      <c r="O43" s="1381"/>
      <c r="P43" s="377"/>
      <c r="Q43" s="376"/>
      <c r="R43" s="371"/>
      <c r="S43" s="1240">
        <f>INDEX(PT_DIFFERENTIATION_NUM_NTAR,MATCH(A43,PT_DIFFERENTIATION_NTAR_ID,0))</f>
        <v>0</v>
      </c>
      <c r="T43" s="314"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6"/>
      <c r="AP43" s="516" t="str">
        <f>IF(T43="","",T43)</f>
        <v>Наименование тарифа</v>
      </c>
      <c r="AQ43" s="516"/>
      <c r="AR43" s="516"/>
      <c r="AS43" s="1171">
        <v>23</v>
      </c>
    </row>
    <row customHeight="1" ht="24">
      <c r="A44" s="1379" t="s">
        <v>219</v>
      </c>
      <c r="B44" s="1379" t="s">
        <v>220</v>
      </c>
      <c r="C44" s="1379"/>
      <c r="D44" s="1379"/>
      <c r="E44" s="2275"/>
      <c r="F44" s="2274">
        <v>1</v>
      </c>
      <c r="G44" s="1379"/>
      <c r="H44" s="1379"/>
      <c r="I44" s="1379"/>
      <c r="J44" s="1379"/>
      <c r="K44" s="1379"/>
      <c r="L44" s="1380"/>
      <c r="M44" s="1381"/>
      <c r="N44" s="1381"/>
      <c r="O44" s="1381"/>
      <c r="P44" s="538"/>
      <c r="Q44" s="368"/>
      <c r="R44" s="369"/>
      <c r="S44" s="1240" t="str">
        <f>INDEX(PT_DIFFERENTIATION_NUM_TER,MATCH(B44,PT_DIFFERENTIATION_TER_ID,0))</f>
        <v>.</v>
      </c>
      <c r="T44" s="324"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516"/>
      <c r="AP44" s="516" t="str">
        <f>IF(T44="","",T44)</f>
        <v>Территория действия тарифа</v>
      </c>
      <c r="AQ44" s="516"/>
      <c r="AR44" s="516"/>
      <c r="AS44" s="1171">
        <v>23</v>
      </c>
    </row>
    <row customHeight="1" ht="24">
      <c r="A45" s="1379" t="s">
        <v>219</v>
      </c>
      <c r="B45" s="1379" t="s">
        <v>220</v>
      </c>
      <c r="C45" s="1379" t="s">
        <v>221</v>
      </c>
      <c r="D45" s="1379"/>
      <c r="E45" s="2275"/>
      <c r="F45" s="2275"/>
      <c r="G45" s="2274">
        <v>1</v>
      </c>
      <c r="H45" s="1379"/>
      <c r="I45" s="1379"/>
      <c r="J45" s="1379"/>
      <c r="K45" s="1379"/>
      <c r="L45" s="1380"/>
      <c r="M45" s="1381"/>
      <c r="N45" s="1381"/>
      <c r="O45" s="1381"/>
      <c r="P45" s="370"/>
      <c r="Q45" s="368"/>
      <c r="R45" s="369"/>
      <c r="S45" s="1240"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516"/>
      <c r="AP45" s="516" t="str">
        <f>IF(T45="","",T45)</f>
        <v>Наименование системы теплоснабжения </v>
      </c>
      <c r="AQ45" s="516"/>
      <c r="AR45" s="516"/>
      <c r="AS45" s="1171">
        <v>23</v>
      </c>
    </row>
    <row customHeight="1" ht="24">
      <c r="A46" s="1379" t="s">
        <v>219</v>
      </c>
      <c r="B46" s="1379" t="s">
        <v>220</v>
      </c>
      <c r="C46" s="1379" t="s">
        <v>221</v>
      </c>
      <c r="D46" s="1379" t="s">
        <v>222</v>
      </c>
      <c r="E46" s="2275"/>
      <c r="F46" s="2275"/>
      <c r="G46" s="2275"/>
      <c r="H46" s="2274">
        <v>1</v>
      </c>
      <c r="I46" s="1379"/>
      <c r="J46" s="1379"/>
      <c r="K46" s="1379"/>
      <c r="L46" s="1380"/>
      <c r="M46" s="1381"/>
      <c r="N46" s="1381"/>
      <c r="O46" s="1381"/>
      <c r="P46" s="370"/>
      <c r="Q46" s="368"/>
      <c r="R46" s="369"/>
      <c r="S46" s="1240"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516"/>
      <c r="AP46" s="516" t="str">
        <f>IF(T46="","",T46)</f>
        <v>Источник тепловой энергии  </v>
      </c>
      <c r="AQ46" s="516"/>
      <c r="AR46" s="516"/>
      <c r="AS46" s="1171">
        <v>23</v>
      </c>
    </row>
    <row customHeight="1" ht="49.5">
      <c r="A47" s="1379" t="s">
        <v>219</v>
      </c>
      <c r="B47" s="1379" t="s">
        <v>220</v>
      </c>
      <c r="C47" s="1379" t="s">
        <v>221</v>
      </c>
      <c r="D47" s="1379" t="s">
        <v>222</v>
      </c>
      <c r="E47" s="2275"/>
      <c r="F47" s="2275"/>
      <c r="G47" s="2275"/>
      <c r="H47" s="2275"/>
      <c r="I47" s="2272" t="str">
        <f>S46&amp;".1"</f>
        <v>....1</v>
      </c>
      <c r="J47" s="1379"/>
      <c r="K47" s="1379"/>
      <c r="L47" s="1380" t="s">
        <v>556</v>
      </c>
      <c r="P47" s="2273">
        <v>1</v>
      </c>
      <c r="Q47" s="1236"/>
      <c r="R47" s="372"/>
      <c r="S47" s="1240" t="str">
        <f>$I47</f>
        <v>....1</v>
      </c>
      <c r="T47" s="301" t="s">
        <v>557</v>
      </c>
      <c r="U47" s="316"/>
      <c r="V47" s="2261"/>
      <c r="W47" s="2262"/>
      <c r="X47" s="2262"/>
      <c r="Y47" s="2262"/>
      <c r="Z47" s="2262"/>
      <c r="AA47" s="2262"/>
      <c r="AB47" s="2262"/>
      <c r="AC47" s="2263"/>
      <c r="AD47" s="2261"/>
      <c r="AE47" s="2262"/>
      <c r="AF47" s="2262"/>
      <c r="AG47" s="2262"/>
      <c r="AH47" s="2262"/>
      <c r="AI47" s="2262"/>
      <c r="AJ47" s="2262"/>
      <c r="AK47" s="2262"/>
      <c r="AL47" s="2263"/>
      <c r="AM47" s="1274" t="s">
        <v>558</v>
      </c>
      <c r="AO47" s="516"/>
      <c r="AP47" s="516" t="str">
        <f>IF(T47="","",T47)</f>
        <v>Схема подключения теплопотребляющей установки к коллектору источника тепловой энергии</v>
      </c>
      <c r="AQ47" s="516"/>
      <c r="AR47" s="516"/>
      <c r="AS47" s="1171">
        <v>47</v>
      </c>
    </row>
    <row customHeight="1" ht="24">
      <c r="A48" s="1379" t="s">
        <v>219</v>
      </c>
      <c r="B48" s="1379" t="s">
        <v>220</v>
      </c>
      <c r="C48" s="1379" t="s">
        <v>221</v>
      </c>
      <c r="D48" s="1379" t="s">
        <v>222</v>
      </c>
      <c r="E48" s="2275"/>
      <c r="F48" s="2275"/>
      <c r="G48" s="2275"/>
      <c r="H48" s="2275"/>
      <c r="I48" s="2302"/>
      <c r="J48" s="2272" t="str">
        <f>I47&amp;".1"</f>
        <v>....1.1</v>
      </c>
      <c r="K48" s="1379"/>
      <c r="L48" s="1380" t="s">
        <v>559</v>
      </c>
      <c r="P48" s="2273"/>
      <c r="Q48" s="2273">
        <v>1</v>
      </c>
      <c r="R48" s="373"/>
      <c r="S48" s="1240" t="str">
        <f>$J48</f>
        <v>....1.1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516"/>
      <c r="AP48" s="516" t="str">
        <f>IF(T48="","",T48)</f>
        <v>Группа потребителей</v>
      </c>
      <c r="AQ48" s="516"/>
      <c r="AR48" s="516"/>
      <c r="AS48" s="1171">
        <v>23</v>
      </c>
    </row>
    <row customHeight="1" ht="24">
      <c r="A49" s="1379" t="s">
        <v>219</v>
      </c>
      <c r="B49" s="1379" t="s">
        <v>220</v>
      </c>
      <c r="C49" s="1379" t="s">
        <v>221</v>
      </c>
      <c r="D49" s="1379" t="s">
        <v>222</v>
      </c>
      <c r="E49" s="2275"/>
      <c r="F49" s="2275"/>
      <c r="G49" s="2275"/>
      <c r="H49" s="2275"/>
      <c r="I49" s="2302"/>
      <c r="J49" s="2302"/>
      <c r="K49" s="2272" t="str">
        <f>J48&amp;".1"</f>
        <v>....1.1.1</v>
      </c>
      <c r="L49" s="1380" t="s">
        <v>562</v>
      </c>
      <c r="P49" s="2273"/>
      <c r="Q49" s="2273"/>
      <c r="R49" s="373">
        <v>1</v>
      </c>
      <c r="S49" s="1240" t="str">
        <f>$K49</f>
        <v>....1.1.1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563</v>
      </c>
      <c r="AN49" s="527">
        <f>STRCHECKDATE(V50:AL50)</f>
      </c>
      <c r="AO49" s="516"/>
      <c r="AP49" s="516" t="str">
        <f>IF(T49="","",T49)</f>
        <v/>
      </c>
      <c r="AQ49" s="516"/>
      <c r="AR49" s="516"/>
      <c r="AS49" s="1171">
        <v>23</v>
      </c>
    </row>
    <row customHeight="1" ht="1.05">
      <c r="A50" s="1379" t="s">
        <v>219</v>
      </c>
      <c r="B50" s="1379" t="s">
        <v>220</v>
      </c>
      <c r="C50" s="1379" t="s">
        <v>221</v>
      </c>
      <c r="D50" s="1379" t="s">
        <v>222</v>
      </c>
      <c r="E50" s="2275"/>
      <c r="F50" s="2275"/>
      <c r="G50" s="2275"/>
      <c r="H50" s="2275"/>
      <c r="I50" s="2302"/>
      <c r="J50" s="2302"/>
      <c r="K50" s="2272"/>
      <c r="L50" s="1380"/>
      <c r="P50" s="2273"/>
      <c r="Q50" s="2273"/>
      <c r="R50" s="373"/>
      <c r="S50" s="1239"/>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516"/>
      <c r="AP50" s="516" t="str">
        <f>IF(T50="","",T50)</f>
        <v/>
      </c>
      <c r="AQ50" s="516"/>
      <c r="AR50" s="516"/>
      <c r="AS50" s="1171">
        <v>1</v>
      </c>
    </row>
    <row customHeight="1" ht="11.549999999999999">
      <c r="A51" s="1379" t="s">
        <v>219</v>
      </c>
      <c r="B51" s="1379" t="s">
        <v>220</v>
      </c>
      <c r="C51" s="1379" t="s">
        <v>221</v>
      </c>
      <c r="D51" s="1379" t="s">
        <v>222</v>
      </c>
      <c r="E51" s="2275"/>
      <c r="F51" s="2275"/>
      <c r="G51" s="2275"/>
      <c r="H51" s="2275"/>
      <c r="I51" s="2302"/>
      <c r="J51" s="2272"/>
      <c r="K51" s="1379"/>
      <c r="L51" s="1380"/>
      <c r="P51" s="2273"/>
      <c r="Q51" s="2273"/>
      <c r="R51" s="372"/>
      <c r="S51" s="1294"/>
      <c r="T51" s="304" t="s">
        <v>564</v>
      </c>
      <c r="U51" s="383"/>
      <c r="V51" s="383"/>
      <c r="W51" s="383"/>
      <c r="X51" s="383"/>
      <c r="Y51" s="383"/>
      <c r="Z51" s="383"/>
      <c r="AA51" s="383"/>
      <c r="AB51" s="383"/>
      <c r="AC51" s="383"/>
      <c r="AD51" s="383"/>
      <c r="AE51" s="383"/>
      <c r="AF51" s="383"/>
      <c r="AG51" s="383"/>
      <c r="AH51" s="383"/>
      <c r="AI51" s="383"/>
      <c r="AJ51" s="383"/>
      <c r="AK51" s="383"/>
      <c r="AL51" s="340"/>
      <c r="AM51" s="2271"/>
      <c r="AO51" s="516"/>
      <c r="AP51" s="516" t="str">
        <f>IF(T51="","",T51)</f>
        <v>Добавить вид теплоносителя (параметры теплоносителя)</v>
      </c>
      <c r="AQ51" s="516"/>
      <c r="AR51" s="516"/>
      <c r="AS51" s="1171">
        <v>11</v>
      </c>
    </row>
    <row customHeight="1" ht="11.549999999999999">
      <c r="A52" s="1379" t="s">
        <v>219</v>
      </c>
      <c r="B52" s="1379" t="s">
        <v>220</v>
      </c>
      <c r="C52" s="1379" t="s">
        <v>221</v>
      </c>
      <c r="D52" s="1379" t="s">
        <v>222</v>
      </c>
      <c r="E52" s="2275"/>
      <c r="F52" s="2275"/>
      <c r="G52" s="2275"/>
      <c r="H52" s="2275"/>
      <c r="I52" s="2272"/>
      <c r="J52" s="1379"/>
      <c r="K52" s="1379"/>
      <c r="L52" s="1380"/>
      <c r="P52" s="2273"/>
      <c r="Q52" s="1236"/>
      <c r="R52" s="372"/>
      <c r="S52" s="1294"/>
      <c r="T52" s="303" t="s">
        <v>565</v>
      </c>
      <c r="U52" s="383"/>
      <c r="V52" s="383"/>
      <c r="W52" s="383"/>
      <c r="X52" s="383"/>
      <c r="Y52" s="383"/>
      <c r="Z52" s="383"/>
      <c r="AA52" s="383"/>
      <c r="AB52" s="383"/>
      <c r="AC52" s="382"/>
      <c r="AD52" s="383"/>
      <c r="AE52" s="383"/>
      <c r="AF52" s="383"/>
      <c r="AG52" s="383"/>
      <c r="AH52" s="383"/>
      <c r="AI52" s="383"/>
      <c r="AJ52" s="383"/>
      <c r="AK52" s="382"/>
      <c r="AL52" s="383"/>
      <c r="AM52" s="319"/>
      <c r="AO52" s="516"/>
      <c r="AP52" s="516" t="str">
        <f>IF(T52="","",T52)</f>
        <v>Добавить группу потребителей</v>
      </c>
      <c r="AQ52" s="516"/>
      <c r="AR52" s="516"/>
      <c r="AS52" s="1171">
        <v>11</v>
      </c>
    </row>
    <row customHeight="1" ht="14.699999999999998">
      <c r="A53" s="1379" t="s">
        <v>219</v>
      </c>
      <c r="B53" s="1379" t="s">
        <v>220</v>
      </c>
      <c r="C53" s="1379" t="s">
        <v>221</v>
      </c>
      <c r="D53" s="1379" t="s">
        <v>222</v>
      </c>
      <c r="E53" s="2275"/>
      <c r="F53" s="2275"/>
      <c r="G53" s="2275"/>
      <c r="H53" s="2274"/>
      <c r="I53" s="1379"/>
      <c r="J53" s="1379"/>
      <c r="K53" s="1379"/>
      <c r="L53" s="1380"/>
      <c r="M53" s="1381"/>
      <c r="N53" s="1381"/>
      <c r="O53" s="553"/>
      <c r="P53" s="376"/>
      <c r="Q53" s="391"/>
      <c r="R53" s="371"/>
      <c r="S53" s="1294"/>
      <c r="T53" s="381" t="s">
        <v>566</v>
      </c>
      <c r="U53" s="383"/>
      <c r="V53" s="383"/>
      <c r="W53" s="383"/>
      <c r="X53" s="383"/>
      <c r="Y53" s="383"/>
      <c r="Z53" s="383"/>
      <c r="AA53" s="383"/>
      <c r="AB53" s="383"/>
      <c r="AC53" s="382"/>
      <c r="AD53" s="383"/>
      <c r="AE53" s="383"/>
      <c r="AF53" s="383"/>
      <c r="AG53" s="383"/>
      <c r="AH53" s="383"/>
      <c r="AI53" s="383"/>
      <c r="AJ53" s="383"/>
      <c r="AK53" s="382"/>
      <c r="AL53" s="383"/>
      <c r="AM53" s="319"/>
      <c r="AO53" s="516"/>
      <c r="AP53" s="516" t="str">
        <f>IF(T53="","",T53)</f>
        <v>Добавить схему подключения</v>
      </c>
      <c r="AQ53" s="516"/>
      <c r="AR53" s="516"/>
      <c r="AS53" s="1171">
        <v>14</v>
      </c>
    </row>
    <row s="1658" customFormat="1" customHeight="1" ht="1.05">
      <c r="A54" s="1359" t="s">
        <v>219</v>
      </c>
      <c r="B54" s="1359" t="s">
        <v>220</v>
      </c>
      <c r="C54" s="1359" t="s">
        <v>221</v>
      </c>
      <c r="D54" s="1330"/>
      <c r="E54" s="2275"/>
      <c r="F54" s="2275"/>
      <c r="G54" s="2274"/>
      <c r="H54" s="1330"/>
      <c r="I54" s="1330"/>
      <c r="J54" s="1330"/>
      <c r="K54" s="1330"/>
      <c r="L54" s="1355"/>
      <c r="M54" s="1331"/>
      <c r="N54" s="133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805"/>
      <c r="AP54" s="805" t="str">
        <f>IF(T54="","",T54)</f>
        <v>Добавить источник для дифференциации</v>
      </c>
      <c r="AQ54" s="805"/>
      <c r="AR54" s="805"/>
      <c r="AS54" s="534">
        <v>1</v>
      </c>
    </row>
    <row s="1658" customFormat="1" customHeight="1" ht="1.05">
      <c r="A55" s="1359" t="s">
        <v>219</v>
      </c>
      <c r="B55" s="1359" t="s">
        <v>220</v>
      </c>
      <c r="C55" s="1330"/>
      <c r="D55" s="1330"/>
      <c r="E55" s="2275"/>
      <c r="F55" s="2274"/>
      <c r="G55" s="1330"/>
      <c r="H55" s="1330"/>
      <c r="I55" s="1330"/>
      <c r="J55" s="1330"/>
      <c r="K55" s="1330"/>
      <c r="L55" s="1355"/>
      <c r="M55" s="1337"/>
      <c r="N55" s="133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805"/>
      <c r="AP55" s="805" t="str">
        <f>IF(T55="","",T55)</f>
        <v>Добавить централизованную систему для дифференциации</v>
      </c>
      <c r="AQ55" s="805"/>
      <c r="AR55" s="805"/>
      <c r="AS55" s="534">
        <v>1</v>
      </c>
    </row>
    <row s="1658" customFormat="1" customHeight="1" ht="1.05">
      <c r="A56" s="1359" t="s">
        <v>219</v>
      </c>
      <c r="B56" s="1359"/>
      <c r="C56" s="1359"/>
      <c r="D56" s="1359"/>
      <c r="E56" s="2274"/>
      <c r="F56" s="1359"/>
      <c r="G56" s="1359"/>
      <c r="H56" s="1359"/>
      <c r="I56" s="1359"/>
      <c r="J56" s="1359"/>
      <c r="K56" s="1359"/>
      <c r="L56" s="1362"/>
      <c r="M56" s="1337"/>
      <c r="N56" s="1337"/>
      <c r="O56" s="534"/>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516"/>
      <c r="AP56" s="516" t="str">
        <f>IF(T56="","",T56)</f>
        <v>Добавить территорию для дифференциации</v>
      </c>
      <c r="AQ56" s="516"/>
      <c r="AR56" s="516"/>
      <c r="AS56" s="527">
        <v>1</v>
      </c>
    </row>
    <row s="1658" customFormat="1" customHeight="1" ht="1.05">
      <c r="A57" s="1330"/>
      <c r="B57" s="1330"/>
      <c r="C57" s="1330"/>
      <c r="D57" s="1330"/>
      <c r="E57" s="1359"/>
      <c r="F57" s="1330"/>
      <c r="G57" s="1330"/>
      <c r="H57" s="1330"/>
      <c r="I57" s="1330"/>
      <c r="J57" s="1330"/>
      <c r="K57" s="1330"/>
      <c r="L57" s="1355"/>
      <c r="M57" s="1337"/>
      <c r="N57" s="133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805"/>
      <c r="AP57" s="805" t="str">
        <f>IF(T57="","",T57)</f>
        <v>Добавить наименование тарифа</v>
      </c>
      <c r="AQ57" s="805"/>
      <c r="AR57" s="805"/>
      <c r="AS57" s="534">
        <v>1</v>
      </c>
    </row>
    <row customHeight="1" ht="11.549999999999999">
      <c r="M58" s="1176"/>
      <c r="N58" s="1176"/>
      <c r="O58" s="553"/>
      <c r="P58" s="1171"/>
      <c r="Q58" s="1171"/>
      <c r="R58" s="1171"/>
      <c r="S58" s="1171"/>
      <c r="AN58" s="1171"/>
      <c r="AO58" s="1171"/>
      <c r="AP58" s="1171"/>
      <c r="AQ58" s="1171"/>
      <c r="AR58" s="1171"/>
      <c r="AS58" s="1171">
        <v>11</v>
      </c>
    </row>
    <row customHeight="1" ht="28.5">
      <c r="O59" s="553"/>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71">
        <v>27</v>
      </c>
    </row>
    <row customHeight="1" ht="67.2">
      <c r="O60" s="553"/>
      <c r="P60" s="1319"/>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71">
        <v>64</v>
      </c>
    </row>
    <row customHeight="1" ht="14.699999999999998">
      <c r="O61" s="553"/>
      <c r="AS61" s="1171">
        <v>14</v>
      </c>
    </row>
    <row customHeight="1" ht="18.75">
      <c r="O62" s="553"/>
      <c r="P62" s="1344"/>
      <c r="S62" s="1269"/>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71">
        <v>18</v>
      </c>
    </row>
    <row customHeight="1" ht="18.75">
      <c r="O63" s="553"/>
      <c r="P63" s="1344"/>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71">
        <v>18</v>
      </c>
    </row>
    <row customHeight="1" ht="29.25">
      <c r="O64" s="553"/>
      <c r="P64" s="1344"/>
      <c r="S64" s="1269"/>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71">
        <v>28</v>
      </c>
    </row>
    <row customHeight="1" ht="22.5" hidden="1">
      <c r="A65" s="1176" t="s">
        <v>85</v>
      </c>
      <c r="B65" s="1176">
        <v>0</v>
      </c>
      <c r="C65" s="1176">
        <v>0</v>
      </c>
      <c r="D65" s="1176">
        <v>0</v>
      </c>
      <c r="E65" s="1176">
        <v>0</v>
      </c>
      <c r="F65" s="1176">
        <v>0</v>
      </c>
      <c r="G65" s="1176">
        <v>0</v>
      </c>
      <c r="H65" s="1176">
        <v>0</v>
      </c>
      <c r="I65" s="1176">
        <v>0</v>
      </c>
      <c r="J65" s="1176">
        <v>0</v>
      </c>
      <c r="K65" s="1176">
        <v>0</v>
      </c>
      <c r="L65" s="1345">
        <v>0</v>
      </c>
      <c r="M65" s="1378">
        <v>0</v>
      </c>
      <c r="N65" s="1378">
        <v>0</v>
      </c>
      <c r="O65" s="1378">
        <v>0</v>
      </c>
      <c r="P65" s="1234">
        <v>3</v>
      </c>
      <c r="Q65" s="360">
        <v>3</v>
      </c>
      <c r="R65" s="360">
        <v>3</v>
      </c>
      <c r="S65" s="597">
        <v>12</v>
      </c>
      <c r="T65" s="1171">
        <v>35</v>
      </c>
      <c r="U65" s="1171">
        <v>0</v>
      </c>
      <c r="V65" s="1171">
        <v>0</v>
      </c>
      <c r="W65" s="1171">
        <v>0</v>
      </c>
      <c r="X65" s="1171">
        <v>0</v>
      </c>
      <c r="Y65" s="1171">
        <v>0</v>
      </c>
      <c r="Z65" s="1171">
        <v>0</v>
      </c>
      <c r="AA65" s="1171">
        <v>0</v>
      </c>
      <c r="AB65" s="1171">
        <v>0</v>
      </c>
      <c r="AC65" s="1171">
        <v>0</v>
      </c>
      <c r="AD65" s="1171">
        <v>24</v>
      </c>
      <c r="AE65" s="1171">
        <v>0</v>
      </c>
      <c r="AF65" s="1171">
        <v>24</v>
      </c>
      <c r="AG65" s="1171">
        <v>24</v>
      </c>
      <c r="AH65" s="1171">
        <v>11</v>
      </c>
      <c r="AI65" s="1171">
        <v>3</v>
      </c>
      <c r="AJ65" s="1171">
        <v>11</v>
      </c>
      <c r="AK65" s="1171">
        <v>0</v>
      </c>
      <c r="AL65" s="1171">
        <v>4</v>
      </c>
      <c r="AM65" s="1171">
        <v>115</v>
      </c>
      <c r="AN65" s="527">
        <v>10</v>
      </c>
      <c r="AO65" s="527">
        <v>10</v>
      </c>
      <c r="AP65" s="527">
        <v>10</v>
      </c>
      <c r="AQ65" s="527">
        <v>10</v>
      </c>
      <c r="AR65" s="527">
        <v>10</v>
      </c>
      <c r="AS65" s="117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0A9B4-C698-A21A-5D45-D7CA64D8D1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1.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Y1" s="343"/>
      <c r="Z1" s="343"/>
      <c r="AG1" s="343"/>
      <c r="AH1" s="343"/>
      <c r="AS1" s="1171" t="s">
        <v>14</v>
      </c>
    </row>
    <row customHeight="1" ht="21" hidden="1">
      <c r="A2" s="1379"/>
      <c r="B2" s="1379"/>
      <c r="C2" s="1379"/>
      <c r="D2" s="1379"/>
      <c r="E2" s="2274">
        <v>1</v>
      </c>
      <c r="F2" s="1379"/>
      <c r="G2" s="1379"/>
      <c r="H2" s="1379"/>
      <c r="I2" s="1379"/>
      <c r="J2" s="1379"/>
      <c r="K2" s="1379"/>
      <c r="L2" s="1380"/>
      <c r="M2" s="1381"/>
      <c r="N2" s="1381"/>
      <c r="O2" s="1381"/>
      <c r="P2" s="377"/>
      <c r="Q2" s="376"/>
      <c r="R2" s="371"/>
      <c r="S2" s="1352">
        <f>INDEX(PT_DIFFERENTIATION_NUM_NTAR,MATCH(A2,PT_DIFFERENTIATION_NTAR_ID,0))</f>
      </c>
      <c r="T2" s="314"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516"/>
      <c r="AP2" s="516" t="str">
        <f>IF(T2="","",T2)</f>
        <v>Наименование тарифа</v>
      </c>
      <c r="AQ2" s="516"/>
      <c r="AR2" s="516"/>
      <c r="AS2" s="1171">
        <v>0</v>
      </c>
    </row>
    <row customHeight="1" ht="21" hidden="1">
      <c r="A3" s="1379"/>
      <c r="B3" s="1379"/>
      <c r="C3" s="1379"/>
      <c r="D3" s="1379"/>
      <c r="E3" s="2275"/>
      <c r="F3" s="2274">
        <v>1</v>
      </c>
      <c r="G3" s="1379"/>
      <c r="H3" s="1379"/>
      <c r="I3" s="1379"/>
      <c r="J3" s="1379"/>
      <c r="K3" s="1379"/>
      <c r="L3" s="1380"/>
      <c r="M3" s="1381"/>
      <c r="N3" s="1381"/>
      <c r="O3" s="1381"/>
      <c r="P3" s="1348"/>
      <c r="Q3" s="368"/>
      <c r="R3" s="369"/>
      <c r="S3" s="1352">
        <f>INDEX(PT_DIFFERENTIATION_NUM_TER,MATCH(B3,PT_DIFFERENTIATION_TER_ID,0))</f>
      </c>
      <c r="T3" s="324"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516"/>
      <c r="AP3" s="516" t="str">
        <f>IF(T3="","",T3)</f>
        <v>Территория действия тарифа</v>
      </c>
      <c r="AQ3" s="516"/>
      <c r="AR3" s="516"/>
      <c r="AS3" s="1171">
        <v>0</v>
      </c>
    </row>
    <row customHeight="1" ht="23.25" hidden="1">
      <c r="A4" s="1379"/>
      <c r="B4" s="1379"/>
      <c r="C4" s="1379"/>
      <c r="D4" s="1379"/>
      <c r="E4" s="2275"/>
      <c r="F4" s="2275"/>
      <c r="G4" s="2274">
        <v>1</v>
      </c>
      <c r="H4" s="1379"/>
      <c r="I4" s="1379"/>
      <c r="J4" s="1379"/>
      <c r="K4" s="1379"/>
      <c r="L4" s="1380"/>
      <c r="M4" s="1381"/>
      <c r="N4" s="1381"/>
      <c r="O4" s="1381"/>
      <c r="P4" s="370"/>
      <c r="Q4" s="368"/>
      <c r="R4" s="369"/>
      <c r="S4" s="1352">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516"/>
      <c r="AP4" s="516" t="str">
        <f>IF(T4="","",T4)</f>
        <v>Наименование системы теплоснабжения </v>
      </c>
      <c r="AQ4" s="516"/>
      <c r="AR4" s="516"/>
      <c r="AS4" s="1171">
        <v>0</v>
      </c>
    </row>
    <row customHeight="1" ht="21" hidden="1">
      <c r="A5" s="1379"/>
      <c r="B5" s="1379"/>
      <c r="C5" s="1379"/>
      <c r="D5" s="1379"/>
      <c r="E5" s="2275"/>
      <c r="F5" s="2275"/>
      <c r="G5" s="2275"/>
      <c r="H5" s="2274">
        <v>1</v>
      </c>
      <c r="I5" s="1379"/>
      <c r="J5" s="1379"/>
      <c r="K5" s="1379"/>
      <c r="L5" s="1380"/>
      <c r="M5" s="1381"/>
      <c r="N5" s="1381"/>
      <c r="O5" s="1381"/>
      <c r="P5" s="370"/>
      <c r="Q5" s="368"/>
      <c r="R5" s="369"/>
      <c r="S5" s="1352">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516"/>
      <c r="AP5" s="516" t="str">
        <f>IF(T5="","",T5)</f>
        <v>Источник тепловой энергии  </v>
      </c>
      <c r="AQ5" s="516"/>
      <c r="AR5" s="516"/>
      <c r="AS5" s="1171">
        <v>0</v>
      </c>
    </row>
    <row customHeight="1" ht="47.25" hidden="1">
      <c r="A6" s="1379"/>
      <c r="B6" s="1379"/>
      <c r="C6" s="1379"/>
      <c r="D6" s="1379"/>
      <c r="E6" s="2275"/>
      <c r="F6" s="2275"/>
      <c r="G6" s="2275"/>
      <c r="H6" s="2275"/>
      <c r="I6" s="2272">
        <f>S5&amp;".1"</f>
      </c>
      <c r="J6" s="1379"/>
      <c r="K6" s="1379"/>
      <c r="L6" s="1380" t="s">
        <v>556</v>
      </c>
      <c r="M6" s="553"/>
      <c r="P6" s="2273">
        <v>1</v>
      </c>
      <c r="Q6" s="1347"/>
      <c r="R6" s="372"/>
      <c r="S6" s="1352">
        <f>$I6</f>
      </c>
      <c r="T6" s="301" t="s">
        <v>557</v>
      </c>
      <c r="U6" s="316"/>
      <c r="V6" s="2261"/>
      <c r="W6" s="2262"/>
      <c r="X6" s="2262"/>
      <c r="Y6" s="2262"/>
      <c r="Z6" s="2262"/>
      <c r="AA6" s="2262"/>
      <c r="AB6" s="2262"/>
      <c r="AC6" s="2263"/>
      <c r="AD6" s="2261"/>
      <c r="AE6" s="2262"/>
      <c r="AF6" s="2262"/>
      <c r="AG6" s="2262"/>
      <c r="AH6" s="2262"/>
      <c r="AI6" s="2262"/>
      <c r="AJ6" s="2262"/>
      <c r="AK6" s="2262"/>
      <c r="AL6" s="2263"/>
      <c r="AM6" s="1274" t="s">
        <v>558</v>
      </c>
      <c r="AO6" s="516"/>
      <c r="AP6" s="516" t="str">
        <f>IF(T6="","",T6)</f>
        <v>Схема подключения теплопотребляющей установки к коллектору источника тепловой энергии</v>
      </c>
      <c r="AQ6" s="516"/>
      <c r="AR6" s="516"/>
      <c r="AS6" s="1171">
        <v>0</v>
      </c>
    </row>
    <row customHeight="1" ht="21" hidden="1">
      <c r="A7" s="1379"/>
      <c r="B7" s="1379"/>
      <c r="C7" s="1379"/>
      <c r="D7" s="1379"/>
      <c r="E7" s="2275"/>
      <c r="F7" s="2275"/>
      <c r="G7" s="2275"/>
      <c r="H7" s="2275"/>
      <c r="I7" s="2302"/>
      <c r="J7" s="2272">
        <f>I6&amp;".1"</f>
      </c>
      <c r="K7" s="1379"/>
      <c r="L7" s="1380" t="s">
        <v>559</v>
      </c>
      <c r="M7" s="553"/>
      <c r="N7" s="1382"/>
      <c r="P7" s="2273"/>
      <c r="Q7" s="2273">
        <v>1</v>
      </c>
      <c r="R7" s="373"/>
      <c r="S7" s="1352">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516"/>
      <c r="AP7" s="516" t="str">
        <f>IF(T7="","",T7)</f>
        <v>Группа потребителей</v>
      </c>
      <c r="AQ7" s="516"/>
      <c r="AR7" s="516"/>
      <c r="AS7" s="1171">
        <v>0</v>
      </c>
    </row>
    <row customHeight="1" ht="21" hidden="1">
      <c r="A8" s="1379"/>
      <c r="B8" s="1379"/>
      <c r="C8" s="1379"/>
      <c r="D8" s="1379"/>
      <c r="E8" s="2275"/>
      <c r="F8" s="2275"/>
      <c r="G8" s="2275"/>
      <c r="H8" s="2275"/>
      <c r="I8" s="2302"/>
      <c r="J8" s="2302"/>
      <c r="K8" s="2272">
        <f>J7&amp;".1"</f>
      </c>
      <c r="L8" s="1380" t="s">
        <v>562</v>
      </c>
      <c r="M8" s="553"/>
      <c r="N8" s="1382"/>
      <c r="O8" s="1382"/>
      <c r="P8" s="2273"/>
      <c r="Q8" s="2273"/>
      <c r="R8" s="373">
        <v>1</v>
      </c>
      <c r="S8" s="1352">
        <f>$K8</f>
      </c>
      <c r="T8" s="1363"/>
      <c r="U8" s="316"/>
      <c r="V8" s="767"/>
      <c r="W8" s="341"/>
      <c r="X8" s="767"/>
      <c r="Y8" s="1273"/>
      <c r="Z8" s="2281"/>
      <c r="AA8" s="2123" t="s">
        <v>64</v>
      </c>
      <c r="AB8" s="2281"/>
      <c r="AC8" s="2123" t="s">
        <v>64</v>
      </c>
      <c r="AD8" s="767"/>
      <c r="AE8" s="341"/>
      <c r="AF8" s="767"/>
      <c r="AG8" s="1273"/>
      <c r="AH8" s="2281"/>
      <c r="AI8" s="2123" t="s">
        <v>64</v>
      </c>
      <c r="AJ8" s="2281"/>
      <c r="AK8" s="2123" t="s">
        <v>64</v>
      </c>
      <c r="AL8" s="341"/>
      <c r="AM8" s="2269" t="s">
        <v>563</v>
      </c>
      <c r="AN8" s="527">
        <f>STRCHECKDATE(V9:AL9)</f>
      </c>
      <c r="AO8" s="516"/>
      <c r="AP8" s="516" t="str">
        <f>IF(T8="","",T8)</f>
        <v/>
      </c>
      <c r="AQ8" s="516"/>
      <c r="AR8" s="516"/>
      <c r="AS8" s="1171">
        <v>0</v>
      </c>
    </row>
    <row customHeight="1" ht="0.75" hidden="1">
      <c r="A9" s="1379"/>
      <c r="B9" s="1379"/>
      <c r="C9" s="1379"/>
      <c r="D9" s="1379"/>
      <c r="E9" s="2275"/>
      <c r="F9" s="2275"/>
      <c r="G9" s="2275"/>
      <c r="H9" s="2275"/>
      <c r="I9" s="2302"/>
      <c r="J9" s="2302"/>
      <c r="K9" s="2272"/>
      <c r="L9" s="1380"/>
      <c r="M9" s="553"/>
      <c r="N9" s="1382"/>
      <c r="O9" s="1382"/>
      <c r="P9" s="2273"/>
      <c r="Q9" s="2273"/>
      <c r="R9" s="373"/>
      <c r="S9" s="1358"/>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516"/>
      <c r="AP9" s="516" t="str">
        <f>IF(T9="","",T9)</f>
        <v/>
      </c>
      <c r="AQ9" s="516"/>
      <c r="AR9" s="516"/>
      <c r="AS9" s="1171">
        <v>0</v>
      </c>
    </row>
    <row customHeight="1" ht="15" hidden="1">
      <c r="A10" s="1379"/>
      <c r="B10" s="1379"/>
      <c r="C10" s="1379"/>
      <c r="D10" s="1379"/>
      <c r="E10" s="2275"/>
      <c r="F10" s="2275"/>
      <c r="G10" s="2275"/>
      <c r="H10" s="2275"/>
      <c r="I10" s="2302"/>
      <c r="J10" s="2272"/>
      <c r="K10" s="1379"/>
      <c r="L10" s="1380"/>
      <c r="M10" s="553"/>
      <c r="N10" s="1382"/>
      <c r="P10" s="2273"/>
      <c r="Q10" s="2273"/>
      <c r="R10" s="372"/>
      <c r="S10" s="1294"/>
      <c r="T10" s="304" t="s">
        <v>564</v>
      </c>
      <c r="U10" s="383"/>
      <c r="V10" s="383"/>
      <c r="W10" s="383"/>
      <c r="X10" s="383"/>
      <c r="Y10" s="383"/>
      <c r="Z10" s="383"/>
      <c r="AA10" s="383"/>
      <c r="AB10" s="383"/>
      <c r="AC10" s="383"/>
      <c r="AD10" s="383"/>
      <c r="AE10" s="383"/>
      <c r="AF10" s="383"/>
      <c r="AG10" s="383"/>
      <c r="AH10" s="383"/>
      <c r="AI10" s="383"/>
      <c r="AJ10" s="383"/>
      <c r="AK10" s="383"/>
      <c r="AL10" s="340"/>
      <c r="AM10" s="2271"/>
      <c r="AO10" s="516"/>
      <c r="AP10" s="516" t="str">
        <f>IF(T10="","",T10)</f>
        <v>Добавить вид теплоносителя (параметры теплоносителя)</v>
      </c>
      <c r="AQ10" s="516"/>
      <c r="AR10" s="516"/>
      <c r="AS10" s="1171">
        <v>0</v>
      </c>
    </row>
    <row customHeight="1" ht="15" hidden="1">
      <c r="A11" s="1379"/>
      <c r="B11" s="1379"/>
      <c r="C11" s="1379"/>
      <c r="D11" s="1379"/>
      <c r="E11" s="2275"/>
      <c r="F11" s="2275"/>
      <c r="G11" s="2275"/>
      <c r="H11" s="2275"/>
      <c r="I11" s="2272"/>
      <c r="J11" s="1379"/>
      <c r="K11" s="1379"/>
      <c r="L11" s="1380"/>
      <c r="M11" s="553"/>
      <c r="P11" s="2273"/>
      <c r="Q11" s="1347"/>
      <c r="R11" s="372"/>
      <c r="S11" s="1294"/>
      <c r="T11" s="303" t="s">
        <v>565</v>
      </c>
      <c r="U11" s="383"/>
      <c r="V11" s="383"/>
      <c r="W11" s="383"/>
      <c r="X11" s="383"/>
      <c r="Y11" s="383"/>
      <c r="Z11" s="383"/>
      <c r="AA11" s="383"/>
      <c r="AB11" s="383"/>
      <c r="AC11" s="382"/>
      <c r="AD11" s="383"/>
      <c r="AE11" s="383"/>
      <c r="AF11" s="383"/>
      <c r="AG11" s="383"/>
      <c r="AH11" s="383"/>
      <c r="AI11" s="383"/>
      <c r="AJ11" s="383"/>
      <c r="AK11" s="382"/>
      <c r="AL11" s="383"/>
      <c r="AM11" s="319"/>
      <c r="AO11" s="516"/>
      <c r="AP11" s="516" t="str">
        <f>IF(T11="","",T11)</f>
        <v>Добавить группу потребителей</v>
      </c>
      <c r="AQ11" s="516"/>
      <c r="AR11" s="516"/>
      <c r="AS11" s="1171">
        <v>0</v>
      </c>
    </row>
    <row customHeight="1" ht="14.25" hidden="1">
      <c r="A12" s="1379"/>
      <c r="B12" s="1379"/>
      <c r="C12" s="1379"/>
      <c r="D12" s="1379"/>
      <c r="E12" s="2275"/>
      <c r="F12" s="2275"/>
      <c r="G12" s="2275"/>
      <c r="H12" s="2274"/>
      <c r="I12" s="1379"/>
      <c r="J12" s="1379"/>
      <c r="K12" s="1379"/>
      <c r="L12" s="1380"/>
      <c r="M12" s="1381"/>
      <c r="N12" s="1381"/>
      <c r="O12" s="553"/>
      <c r="P12" s="376"/>
      <c r="Q12" s="391"/>
      <c r="R12" s="371"/>
      <c r="S12" s="1294"/>
      <c r="T12" s="381" t="s">
        <v>566</v>
      </c>
      <c r="U12" s="383"/>
      <c r="V12" s="383"/>
      <c r="W12" s="383"/>
      <c r="X12" s="383"/>
      <c r="Y12" s="383"/>
      <c r="Z12" s="383"/>
      <c r="AA12" s="383"/>
      <c r="AB12" s="383"/>
      <c r="AC12" s="382"/>
      <c r="AD12" s="383"/>
      <c r="AE12" s="383"/>
      <c r="AF12" s="383"/>
      <c r="AG12" s="383"/>
      <c r="AH12" s="383"/>
      <c r="AI12" s="383"/>
      <c r="AJ12" s="383"/>
      <c r="AK12" s="382"/>
      <c r="AL12" s="383"/>
      <c r="AM12" s="319"/>
      <c r="AO12" s="516"/>
      <c r="AP12" s="516" t="str">
        <f>IF(T12="","",T12)</f>
        <v>Добавить схему подключения</v>
      </c>
      <c r="AQ12" s="516"/>
      <c r="AR12" s="516"/>
      <c r="AS12" s="1171">
        <v>0</v>
      </c>
    </row>
    <row s="1658" customFormat="1" customHeight="1" ht="0.75" hidden="1">
      <c r="A13" s="1330"/>
      <c r="B13" s="1330"/>
      <c r="C13" s="1330"/>
      <c r="D13" s="1330"/>
      <c r="E13" s="2275"/>
      <c r="F13" s="2275"/>
      <c r="G13" s="2274"/>
      <c r="H13" s="1330"/>
      <c r="I13" s="1330"/>
      <c r="J13" s="1330"/>
      <c r="K13" s="1330"/>
      <c r="L13" s="1355"/>
      <c r="M13" s="1331"/>
      <c r="N13" s="133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805"/>
      <c r="AP13" s="805" t="str">
        <f>IF(T13="","",T13)</f>
        <v>Добавить источник для дифференциации</v>
      </c>
      <c r="AQ13" s="805"/>
      <c r="AR13" s="805"/>
      <c r="AS13" s="534">
        <v>0</v>
      </c>
    </row>
    <row s="1658" customFormat="1" customHeight="1" ht="0.75" hidden="1">
      <c r="A14" s="1330"/>
      <c r="B14" s="1330"/>
      <c r="C14" s="1330"/>
      <c r="D14" s="1330"/>
      <c r="E14" s="2275"/>
      <c r="F14" s="2274"/>
      <c r="G14" s="1330"/>
      <c r="H14" s="1330"/>
      <c r="I14" s="1330"/>
      <c r="J14" s="1330"/>
      <c r="K14" s="1330"/>
      <c r="L14" s="1355"/>
      <c r="M14" s="1337"/>
      <c r="N14" s="133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805"/>
      <c r="AP14" s="805" t="str">
        <f>IF(T14="","",T14)</f>
        <v>Добавить централизованную систему для дифференциации</v>
      </c>
      <c r="AQ14" s="805"/>
      <c r="AR14" s="805"/>
      <c r="AS14" s="534">
        <v>0</v>
      </c>
    </row>
    <row s="1658" customFormat="1" customHeight="1" ht="0.75" hidden="1">
      <c r="A15" s="1330"/>
      <c r="B15" s="1330"/>
      <c r="C15" s="1330"/>
      <c r="D15" s="1330"/>
      <c r="E15" s="2274"/>
      <c r="F15" s="1330"/>
      <c r="G15" s="1330"/>
      <c r="H15" s="1330"/>
      <c r="I15" s="1330"/>
      <c r="J15" s="1330"/>
      <c r="K15" s="1330"/>
      <c r="L15" s="1355"/>
      <c r="M15" s="1337"/>
      <c r="N15" s="133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805"/>
      <c r="AP15" s="805" t="str">
        <f>IF(T15="","",T15)</f>
        <v>Добавить территорию для дифференциации</v>
      </c>
      <c r="AQ15" s="805"/>
      <c r="AR15" s="805"/>
      <c r="AS15" s="534">
        <v>0</v>
      </c>
    </row>
    <row customHeight="1" ht="14.25" hidden="1">
      <c r="AC16" s="343"/>
      <c r="AK16" s="343"/>
      <c r="AS16" s="1171">
        <v>0</v>
      </c>
    </row>
    <row customHeight="1" ht="14.25" hidden="1">
      <c r="AD17" s="1376"/>
      <c r="AE17" s="1376"/>
      <c r="AF17" s="1376"/>
      <c r="AG17" s="1377"/>
      <c r="AH17" s="2283"/>
      <c r="AI17" s="2284" t="s">
        <v>64</v>
      </c>
      <c r="AJ17" s="2283"/>
      <c r="AK17" s="2284" t="s">
        <v>64</v>
      </c>
      <c r="AS17" s="1171">
        <v>0</v>
      </c>
    </row>
    <row customHeight="1" ht="14.25" hidden="1">
      <c r="AD18" s="1376"/>
      <c r="AE18" s="1376"/>
      <c r="AF18" s="1376"/>
      <c r="AG18" s="344" t="str">
        <f>AH17&amp;"-"&amp;AJ17</f>
        <v>-</v>
      </c>
      <c r="AH18" s="2284"/>
      <c r="AI18" s="2284"/>
      <c r="AJ18" s="2284"/>
      <c r="AK18" s="2284"/>
      <c r="AS18" s="1171">
        <v>0</v>
      </c>
    </row>
    <row customHeight="1" ht="14.25" hidden="1">
      <c r="AK19" s="343"/>
      <c r="AS19" s="1171">
        <v>0</v>
      </c>
    </row>
    <row s="1382" customFormat="1" customHeight="1" ht="22.5" hidden="1">
      <c r="L20" s="1345"/>
      <c r="M20" s="1378"/>
      <c r="N20" s="1378"/>
      <c r="O20" s="1383" t="s">
        <v>567</v>
      </c>
      <c r="P20" s="1378"/>
      <c r="Q20" s="1387"/>
      <c r="R20" s="1387"/>
      <c r="S20" s="745"/>
      <c r="Z20" s="1383"/>
      <c r="AB20" s="1383"/>
      <c r="AC20" s="1382"/>
      <c r="AH20" s="1383"/>
      <c r="AJ20" s="1383"/>
      <c r="AK20" s="1382"/>
      <c r="AN20" s="527"/>
      <c r="AO20" s="527"/>
      <c r="AP20" s="527"/>
      <c r="AQ20" s="527"/>
      <c r="AR20" s="527"/>
      <c r="AS20" s="1176">
        <v>0</v>
      </c>
    </row>
    <row s="1382" customFormat="1" customHeight="1" ht="14.25" hidden="1">
      <c r="L21" s="1345"/>
      <c r="M21" s="1378"/>
      <c r="N21" s="1378"/>
      <c r="O21" s="1378"/>
      <c r="P21" s="1378"/>
      <c r="Q21" s="1387"/>
      <c r="R21" s="1387"/>
      <c r="S21" s="745"/>
      <c r="AC21" s="1382"/>
      <c r="AK21" s="1382"/>
      <c r="AN21" s="527"/>
      <c r="AO21" s="527"/>
      <c r="AP21" s="527"/>
      <c r="AQ21" s="527"/>
      <c r="AR21" s="527"/>
      <c r="AS21" s="1176">
        <v>0</v>
      </c>
    </row>
    <row s="1382" customFormat="1" customHeight="1" ht="14.25" hidden="1">
      <c r="L22" s="1345"/>
      <c r="M22" s="1378"/>
      <c r="N22" s="1378"/>
      <c r="O22" s="1380" t="s">
        <v>568</v>
      </c>
      <c r="P22" s="1378"/>
      <c r="Q22" s="1387"/>
      <c r="R22" s="1387"/>
      <c r="S22" s="745"/>
      <c r="T22" s="1176" t="s">
        <v>569</v>
      </c>
      <c r="AA22" s="202" t="s">
        <v>570</v>
      </c>
      <c r="AC22" s="202" t="s">
        <v>571</v>
      </c>
      <c r="AD22" s="1176" t="s">
        <v>569</v>
      </c>
      <c r="AI22" s="202" t="s">
        <v>572</v>
      </c>
      <c r="AK22" s="202" t="s">
        <v>571</v>
      </c>
      <c r="AN22" s="527"/>
      <c r="AO22" s="527"/>
      <c r="AP22" s="527"/>
      <c r="AQ22" s="527"/>
      <c r="AR22" s="527"/>
      <c r="AS22" s="1176">
        <v>0</v>
      </c>
    </row>
    <row customHeight="1" ht="14.25" hidden="1">
      <c r="O23" s="1380"/>
      <c r="AS23" s="1171">
        <v>0</v>
      </c>
    </row>
    <row customHeight="1" ht="14.25" hidden="1">
      <c r="O24" s="1380"/>
      <c r="AS24" s="1171">
        <v>0</v>
      </c>
    </row>
    <row customHeight="1" ht="14.699999999999998">
      <c r="Q25" s="392"/>
      <c r="R25" s="392"/>
      <c r="S25" s="1291"/>
      <c r="T25" s="379"/>
      <c r="U25" s="379"/>
      <c r="V25" s="525"/>
      <c r="W25" s="525"/>
      <c r="X25" s="525"/>
      <c r="Y25" s="525"/>
      <c r="Z25" s="525"/>
      <c r="AA25" s="525"/>
      <c r="AB25" s="525"/>
      <c r="AC25" s="525"/>
      <c r="AD25" s="525"/>
      <c r="AE25" s="525"/>
      <c r="AF25" s="525"/>
      <c r="AG25" s="525"/>
      <c r="AH25" s="525"/>
      <c r="AI25" s="525"/>
      <c r="AJ25" s="525"/>
      <c r="AK25" s="525"/>
      <c r="AS25" s="1171">
        <v>14</v>
      </c>
    </row>
    <row customHeight="1" ht="14.699999999999998">
      <c r="Q26" s="392"/>
      <c r="R26" s="392"/>
      <c r="S26" s="2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4"/>
      <c r="U26" s="2264"/>
      <c r="V26" s="2264"/>
      <c r="W26" s="2264"/>
      <c r="X26" s="2264"/>
      <c r="Y26" s="2264"/>
      <c r="Z26" s="2264"/>
      <c r="AA26" s="2264"/>
      <c r="AB26" s="2264"/>
      <c r="AC26" s="2264"/>
      <c r="AD26" s="2264"/>
      <c r="AE26" s="2264"/>
      <c r="AF26" s="2264"/>
      <c r="AG26" s="2264"/>
      <c r="AH26" s="2264"/>
      <c r="AI26" s="2264"/>
      <c r="AJ26" s="2264"/>
      <c r="AK26" s="1259"/>
      <c r="AS26" s="1171">
        <v>14</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171">
        <v>14</v>
      </c>
    </row>
    <row customHeight="1" ht="14.25">
      <c r="Q28" s="392"/>
      <c r="R28" s="392"/>
      <c r="S28" s="1291"/>
      <c r="T28" s="379"/>
      <c r="U28" s="379"/>
      <c r="V28" s="338"/>
      <c r="W28" s="338"/>
      <c r="X28" s="338"/>
      <c r="Y28" s="338"/>
      <c r="Z28" s="338"/>
      <c r="AA28" s="338"/>
      <c r="AB28" s="338"/>
      <c r="AC28" s="338"/>
      <c r="AD28" s="338"/>
      <c r="AE28" s="338"/>
      <c r="AF28" s="338"/>
      <c r="AG28" s="338"/>
      <c r="AH28" s="338"/>
      <c r="AI28" s="338"/>
      <c r="AJ28" s="338"/>
      <c r="AK28" s="338"/>
      <c r="AL28" s="525"/>
      <c r="AS28" s="1171">
        <v>0</v>
      </c>
    </row>
    <row s="1869" customFormat="1" customHeight="1" ht="25.5">
      <c r="A29" s="1384"/>
      <c r="B29" s="1384"/>
      <c r="C29" s="1384"/>
      <c r="D29" s="1384"/>
      <c r="E29" s="1384"/>
      <c r="F29" s="1384"/>
      <c r="G29" s="1384"/>
      <c r="H29" s="1384"/>
      <c r="I29" s="1384"/>
      <c r="J29" s="1384"/>
      <c r="K29" s="1384"/>
      <c r="L29" s="1385"/>
      <c r="M29" s="1384"/>
      <c r="N29" s="1384"/>
      <c r="O29" s="138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342"/>
      <c r="AD29" s="2267" t="str">
        <f>IF(TITLE_NAME_OR_PR_CHANGE="",IF(TITLE_NAME_OR_PR="","",TITLE_NAME_OR_PR),TITLE_NAME_OR_PR_CHANGE)</f>
        <v>Агентство по тарифам Приморского края</v>
      </c>
      <c r="AE29" s="2267"/>
      <c r="AF29" s="2267"/>
      <c r="AG29" s="2267"/>
      <c r="AH29" s="2267"/>
      <c r="AI29" s="2267"/>
      <c r="AJ29" s="2267"/>
      <c r="AK29" s="342"/>
      <c r="AL29" s="342"/>
      <c r="AM29" s="296"/>
      <c r="AN29" s="384"/>
      <c r="AO29" s="384"/>
      <c r="AP29" s="384"/>
      <c r="AQ29" s="384"/>
      <c r="AR29" s="384"/>
      <c r="AS29" s="434">
        <v>0</v>
      </c>
    </row>
    <row s="1869" customFormat="1" customHeight="1" ht="18.75">
      <c r="A30" s="1384"/>
      <c r="B30" s="1384"/>
      <c r="C30" s="1384"/>
      <c r="D30" s="1384"/>
      <c r="E30" s="1384"/>
      <c r="F30" s="1384"/>
      <c r="G30" s="1384"/>
      <c r="H30" s="1384"/>
      <c r="I30" s="1384"/>
      <c r="J30" s="1384"/>
      <c r="K30" s="1384"/>
      <c r="L30" s="1385"/>
      <c r="M30" s="1384"/>
      <c r="N30" s="1384"/>
      <c r="O30" s="1384"/>
      <c r="S30" s="2266" t="s">
        <v>573</v>
      </c>
      <c r="T30" s="2266"/>
      <c r="U30" s="1388"/>
      <c r="V30" s="2280" t="str">
        <f>IF(TITLE_DATE_PR_CHANGE="",IF(TITLE_DATE_PR="","",TITLE_DATE_PR),TITLE_DATE_PR_CHANGE)</f>
        <v>45910</v>
      </c>
      <c r="W30" s="2280"/>
      <c r="X30" s="2280"/>
      <c r="Y30" s="2280"/>
      <c r="Z30" s="2280"/>
      <c r="AA30" s="2280"/>
      <c r="AB30" s="2280"/>
      <c r="AC30" s="342"/>
      <c r="AD30" s="2280" t="str">
        <f>IF(TITLE_DATE_PR_CHANGE="",IF(TITLE_DATE_PR="","",TITLE_DATE_PR),TITLE_DATE_PR_CHANGE)</f>
        <v>45910</v>
      </c>
      <c r="AE30" s="2280"/>
      <c r="AF30" s="2280"/>
      <c r="AG30" s="2280"/>
      <c r="AH30" s="2280"/>
      <c r="AI30" s="2280"/>
      <c r="AJ30" s="2280"/>
      <c r="AK30" s="342"/>
      <c r="AL30" s="342"/>
      <c r="AM30" s="296"/>
      <c r="AN30" s="384"/>
      <c r="AO30" s="384"/>
      <c r="AP30" s="384"/>
      <c r="AQ30" s="384"/>
      <c r="AR30" s="384"/>
      <c r="AS30" s="434">
        <v>0</v>
      </c>
    </row>
    <row s="1869" customFormat="1" customHeight="1" ht="18.75">
      <c r="A31" s="1384"/>
      <c r="B31" s="1384"/>
      <c r="C31" s="1384"/>
      <c r="D31" s="1384"/>
      <c r="E31" s="1384"/>
      <c r="F31" s="1384"/>
      <c r="G31" s="1384"/>
      <c r="H31" s="1384"/>
      <c r="I31" s="1384"/>
      <c r="J31" s="1384"/>
      <c r="K31" s="1384"/>
      <c r="L31" s="1385"/>
      <c r="M31" s="1384"/>
      <c r="N31" s="1384"/>
      <c r="O31" s="1384"/>
      <c r="S31" s="2266" t="s">
        <v>574</v>
      </c>
      <c r="T31" s="2266"/>
      <c r="U31" s="1388"/>
      <c r="V31" s="2267" t="str">
        <f>IF(TITLE_NUMBER_PR_CHANGE="",IF(TITLE_NUMBER_PR="","",TITLE_NUMBER_PR),TITLE_NUMBER_PR_CHANGE)</f>
        <v>37/2</v>
      </c>
      <c r="W31" s="2267"/>
      <c r="X31" s="2267"/>
      <c r="Y31" s="2267"/>
      <c r="Z31" s="2267"/>
      <c r="AA31" s="2267"/>
      <c r="AB31" s="2267"/>
      <c r="AC31" s="342"/>
      <c r="AD31" s="2267" t="str">
        <f>IF(TITLE_NUMBER_PR_CHANGE="",IF(TITLE_NUMBER_PR="","",TITLE_NUMBER_PR),TITLE_NUMBER_PR_CHANGE)</f>
        <v>37/2</v>
      </c>
      <c r="AE31" s="2267"/>
      <c r="AF31" s="2267"/>
      <c r="AG31" s="2267"/>
      <c r="AH31" s="2267"/>
      <c r="AI31" s="2267"/>
      <c r="AJ31" s="2267"/>
      <c r="AK31" s="342"/>
      <c r="AL31" s="342"/>
      <c r="AM31" s="296"/>
      <c r="AN31" s="384"/>
      <c r="AO31" s="384"/>
      <c r="AP31" s="384"/>
      <c r="AQ31" s="384"/>
      <c r="AR31" s="384"/>
      <c r="AS31" s="434">
        <v>0</v>
      </c>
    </row>
    <row s="1869" customFormat="1" customHeight="1" ht="18.75">
      <c r="A32" s="1384"/>
      <c r="B32" s="1384"/>
      <c r="C32" s="1384"/>
      <c r="D32" s="1384"/>
      <c r="E32" s="1384"/>
      <c r="F32" s="1384"/>
      <c r="G32" s="1384"/>
      <c r="H32" s="1384"/>
      <c r="I32" s="1384"/>
      <c r="J32" s="1384"/>
      <c r="K32" s="1384"/>
      <c r="L32" s="1385"/>
      <c r="M32" s="1384"/>
      <c r="N32" s="1384"/>
      <c r="O32" s="1384"/>
      <c r="S32" s="2266" t="s">
        <v>44</v>
      </c>
      <c r="T32" s="2266"/>
      <c r="U32" s="1388"/>
      <c r="V32" s="2267" t="str">
        <f>IF(TITLE_IST_PUB_CHANGE="",IF(TITLE_IST_PUB="","",TITLE_IST_PUB),TITLE_IST_PUB_CHANGE)</f>
        <v>http://pravo.gov.ru</v>
      </c>
      <c r="W32" s="2267"/>
      <c r="X32" s="2267"/>
      <c r="Y32" s="2267"/>
      <c r="Z32" s="2267"/>
      <c r="AA32" s="2267"/>
      <c r="AB32" s="2267"/>
      <c r="AC32" s="342"/>
      <c r="AD32" s="2267" t="str">
        <f>IF(TITLE_IST_PUB_CHANGE="",IF(TITLE_IST_PUB="","",TITLE_IST_PUB),TITLE_IST_PUB_CHANGE)</f>
        <v>http://pravo.gov.ru</v>
      </c>
      <c r="AE32" s="2267"/>
      <c r="AF32" s="2267"/>
      <c r="AG32" s="2267"/>
      <c r="AH32" s="2267"/>
      <c r="AI32" s="2267"/>
      <c r="AJ32" s="2267"/>
      <c r="AK32" s="342"/>
      <c r="AL32" s="342"/>
      <c r="AM32" s="296"/>
      <c r="AN32" s="384"/>
      <c r="AO32" s="384"/>
      <c r="AP32" s="384"/>
      <c r="AQ32" s="384"/>
      <c r="AR32" s="384"/>
      <c r="AS32" s="434">
        <v>0</v>
      </c>
    </row>
    <row customHeight="1" ht="14.25" hidden="1">
      <c r="Q33" s="392"/>
      <c r="R33" s="392"/>
      <c r="S33" s="1291"/>
      <c r="T33" s="379"/>
      <c r="U33" s="379"/>
      <c r="V33" s="338"/>
      <c r="W33" s="338"/>
      <c r="X33" s="338"/>
      <c r="Y33" s="338"/>
      <c r="Z33" s="338"/>
      <c r="AA33" s="338"/>
      <c r="AB33" s="338"/>
      <c r="AC33" s="338"/>
      <c r="AD33" s="338"/>
      <c r="AE33" s="338"/>
      <c r="AF33" s="338"/>
      <c r="AG33" s="338"/>
      <c r="AH33" s="338"/>
      <c r="AI33" s="338"/>
      <c r="AJ33" s="338"/>
      <c r="AK33" s="338"/>
      <c r="AL33" s="525"/>
      <c r="AS33" s="1171">
        <v>0</v>
      </c>
    </row>
    <row s="1869" customFormat="1" customHeight="1" ht="18.75" hidden="1">
      <c r="A34" s="1384"/>
      <c r="B34" s="1384"/>
      <c r="C34" s="1384"/>
      <c r="D34" s="1384"/>
      <c r="E34" s="1384"/>
      <c r="F34" s="1384"/>
      <c r="G34" s="1384"/>
      <c r="H34" s="1384"/>
      <c r="I34" s="1384"/>
      <c r="J34" s="1384"/>
      <c r="K34" s="1384"/>
      <c r="L34" s="1385"/>
      <c r="M34" s="1384"/>
      <c r="N34" s="1384"/>
      <c r="O34" s="1384"/>
      <c r="S34" s="2266" t="s">
        <v>575</v>
      </c>
      <c r="T34" s="2266"/>
      <c r="U34" s="1388"/>
      <c r="V34" s="2280" t="str">
        <f>IF(TITLE_DATE_PR_CHANGE="",IF(TITLE_DATE_PR="","",TITLE_DATE_PR),TITLE_DATE_PR_CHANGE)</f>
        <v>45910</v>
      </c>
      <c r="W34" s="2280"/>
      <c r="X34" s="2280"/>
      <c r="Y34" s="2280"/>
      <c r="Z34" s="2280"/>
      <c r="AA34" s="2280"/>
      <c r="AB34" s="2280"/>
      <c r="AC34" s="342"/>
      <c r="AD34" s="2280" t="str">
        <f>IF(TITLE_DATE_PR_CHANGE="",IF(TITLE_DATE_PR="","",TITLE_DATE_PR),TITLE_DATE_PR_CHANGE)</f>
        <v>45910</v>
      </c>
      <c r="AE34" s="2280"/>
      <c r="AF34" s="2280"/>
      <c r="AG34" s="2280"/>
      <c r="AH34" s="2280"/>
      <c r="AI34" s="2280"/>
      <c r="AJ34" s="2280"/>
      <c r="AK34" s="342"/>
      <c r="AL34" s="342"/>
      <c r="AM34" s="296"/>
      <c r="AN34" s="384"/>
      <c r="AO34" s="384"/>
      <c r="AP34" s="384"/>
      <c r="AQ34" s="384"/>
      <c r="AR34" s="384"/>
      <c r="AS34" s="434">
        <v>0</v>
      </c>
    </row>
    <row s="1869" customFormat="1" customHeight="1" ht="18.75" hidden="1">
      <c r="A35" s="1384"/>
      <c r="B35" s="1384"/>
      <c r="C35" s="1384"/>
      <c r="D35" s="1384"/>
      <c r="E35" s="1384"/>
      <c r="F35" s="1384"/>
      <c r="G35" s="1384"/>
      <c r="H35" s="1384"/>
      <c r="I35" s="1384"/>
      <c r="J35" s="1384"/>
      <c r="K35" s="1384"/>
      <c r="L35" s="1385"/>
      <c r="M35" s="1384"/>
      <c r="N35" s="1384"/>
      <c r="O35" s="1384"/>
      <c r="S35" s="2266" t="s">
        <v>576</v>
      </c>
      <c r="T35" s="2266"/>
      <c r="U35" s="1388"/>
      <c r="V35" s="2267" t="str">
        <f>IF(TITLE_NUMBER_PR_CHANGE="",IF(TITLE_NUMBER_PR="","",TITLE_NUMBER_PR),TITLE_NUMBER_PR_CHANGE)</f>
        <v>37/2</v>
      </c>
      <c r="W35" s="2267"/>
      <c r="X35" s="2267"/>
      <c r="Y35" s="2267"/>
      <c r="Z35" s="2267"/>
      <c r="AA35" s="2267"/>
      <c r="AB35" s="2267"/>
      <c r="AC35" s="342"/>
      <c r="AD35" s="2267" t="str">
        <f>IF(TITLE_NUMBER_PR_CHANGE="",IF(TITLE_NUMBER_PR="","",TITLE_NUMBER_PR),TITLE_NUMBER_PR_CHANGE)</f>
        <v>37/2</v>
      </c>
      <c r="AE35" s="2267"/>
      <c r="AF35" s="2267"/>
      <c r="AG35" s="2267"/>
      <c r="AH35" s="2267"/>
      <c r="AI35" s="2267"/>
      <c r="AJ35" s="2267"/>
      <c r="AK35" s="342"/>
      <c r="AL35" s="342"/>
      <c r="AM35" s="296"/>
      <c r="AN35" s="384"/>
      <c r="AO35" s="384"/>
      <c r="AP35" s="384"/>
      <c r="AQ35" s="384"/>
      <c r="AR35" s="384"/>
      <c r="AS35" s="434">
        <v>0</v>
      </c>
    </row>
    <row s="1869" customFormat="1" customHeight="1" ht="0">
      <c r="A36" s="1384"/>
      <c r="B36" s="1384"/>
      <c r="C36" s="1384"/>
      <c r="D36" s="1384"/>
      <c r="E36" s="1384"/>
      <c r="F36" s="1384"/>
      <c r="G36" s="1384"/>
      <c r="H36" s="1384"/>
      <c r="I36" s="1384"/>
      <c r="J36" s="1384"/>
      <c r="K36" s="1384"/>
      <c r="L36" s="1385"/>
      <c r="M36" s="1384"/>
      <c r="N36" s="1384"/>
      <c r="O36" s="1384"/>
      <c r="S36" s="339"/>
      <c r="T36" s="339"/>
      <c r="U36" s="1356"/>
      <c r="V36" s="342"/>
      <c r="W36" s="342"/>
      <c r="X36" s="342"/>
      <c r="Y36" s="342"/>
      <c r="Z36" s="342"/>
      <c r="AA36" s="342"/>
      <c r="AB36" s="342"/>
      <c r="AC36" s="294" t="s">
        <v>577</v>
      </c>
      <c r="AD36" s="342"/>
      <c r="AE36" s="342"/>
      <c r="AF36" s="342"/>
      <c r="AG36" s="342"/>
      <c r="AH36" s="342"/>
      <c r="AI36" s="342"/>
      <c r="AJ36" s="342"/>
      <c r="AK36" s="294" t="s">
        <v>577</v>
      </c>
      <c r="AN36" s="384"/>
      <c r="AO36" s="384"/>
      <c r="AP36" s="384"/>
      <c r="AQ36" s="384"/>
      <c r="AR36" s="384"/>
      <c r="AS36" s="434">
        <v>0</v>
      </c>
    </row>
    <row customHeight="1" ht="14.699999999999998">
      <c r="Q37" s="392"/>
      <c r="R37" s="392"/>
      <c r="S37" s="1291"/>
      <c r="T37" s="379"/>
      <c r="U37" s="1260"/>
      <c r="V37" s="2268"/>
      <c r="W37" s="2268"/>
      <c r="X37" s="2268"/>
      <c r="Y37" s="2268"/>
      <c r="Z37" s="2268"/>
      <c r="AA37" s="2268"/>
      <c r="AB37" s="2268"/>
      <c r="AC37" s="2268"/>
      <c r="AD37" s="2268"/>
      <c r="AE37" s="2268"/>
      <c r="AF37" s="2268"/>
      <c r="AG37" s="2268"/>
      <c r="AH37" s="2268"/>
      <c r="AI37" s="2268"/>
      <c r="AJ37" s="2268"/>
      <c r="AK37" s="2268"/>
      <c r="AS37" s="1171">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171">
        <v>14</v>
      </c>
    </row>
    <row customHeight="1" ht="14.699999999999998">
      <c r="Q39" s="392"/>
      <c r="R39" s="392"/>
      <c r="S39" s="2289" t="s">
        <v>91</v>
      </c>
      <c r="T39" s="2225" t="s">
        <v>578</v>
      </c>
      <c r="U39" s="317"/>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171">
        <v>14</v>
      </c>
    </row>
    <row customHeight="1" ht="35.699999999999996">
      <c r="Q40" s="392"/>
      <c r="R40" s="392"/>
      <c r="S40" s="2289"/>
      <c r="T40" s="2225"/>
      <c r="U40" s="1047"/>
      <c r="V40" s="2276" t="s">
        <v>583</v>
      </c>
      <c r="W40" s="2299" t="s">
        <v>584</v>
      </c>
      <c r="X40" s="2278" t="s">
        <v>585</v>
      </c>
      <c r="Y40" s="2279"/>
      <c r="Z40" s="2278" t="s">
        <v>598</v>
      </c>
      <c r="AA40" s="2285"/>
      <c r="AB40" s="2279"/>
      <c r="AC40" s="2294"/>
      <c r="AD40" s="2276" t="s">
        <v>583</v>
      </c>
      <c r="AE40" s="2299" t="s">
        <v>584</v>
      </c>
      <c r="AF40" s="2278" t="s">
        <v>585</v>
      </c>
      <c r="AG40" s="2279"/>
      <c r="AH40" s="2278" t="s">
        <v>586</v>
      </c>
      <c r="AI40" s="2285"/>
      <c r="AJ40" s="2279"/>
      <c r="AK40" s="2294"/>
      <c r="AL40" s="2297"/>
      <c r="AM40" s="2143"/>
      <c r="AS40" s="1171">
        <v>34</v>
      </c>
    </row>
    <row customHeight="1" ht="35.699999999999996">
      <c r="A41" s="1386"/>
      <c r="B41" s="1386" t="s">
        <v>204</v>
      </c>
      <c r="C41" s="1386" t="s">
        <v>205</v>
      </c>
      <c r="D41" s="1386" t="s">
        <v>206</v>
      </c>
      <c r="E41" s="1380" t="s">
        <v>587</v>
      </c>
      <c r="F41" s="1380" t="s">
        <v>588</v>
      </c>
      <c r="G41" s="1380" t="s">
        <v>589</v>
      </c>
      <c r="H41" s="1380" t="s">
        <v>590</v>
      </c>
      <c r="I41" s="1380" t="s">
        <v>591</v>
      </c>
      <c r="J41" s="1380" t="s">
        <v>592</v>
      </c>
      <c r="K41" s="1380" t="s">
        <v>593</v>
      </c>
      <c r="L41" s="1380" t="s">
        <v>568</v>
      </c>
      <c r="Q41" s="392"/>
      <c r="R41" s="392"/>
      <c r="S41" s="2289"/>
      <c r="T41" s="2225"/>
      <c r="U41" s="318"/>
      <c r="V41" s="2277"/>
      <c r="W41" s="2300"/>
      <c r="X41" s="1238" t="s">
        <v>594</v>
      </c>
      <c r="Y41" s="1238" t="s">
        <v>595</v>
      </c>
      <c r="Z41" s="1354" t="s">
        <v>596</v>
      </c>
      <c r="AA41" s="2286" t="s">
        <v>597</v>
      </c>
      <c r="AB41" s="2287"/>
      <c r="AC41" s="2295"/>
      <c r="AD41" s="2277"/>
      <c r="AE41" s="2300"/>
      <c r="AF41" s="1238" t="s">
        <v>594</v>
      </c>
      <c r="AG41" s="1238" t="s">
        <v>595</v>
      </c>
      <c r="AH41" s="1354" t="s">
        <v>596</v>
      </c>
      <c r="AI41" s="2286" t="s">
        <v>597</v>
      </c>
      <c r="AJ41" s="2287"/>
      <c r="AK41" s="2295"/>
      <c r="AL41" s="2298"/>
      <c r="AM41" s="2143"/>
      <c r="AS41" s="1171">
        <v>34</v>
      </c>
    </row>
    <row s="1657" customFormat="1" customHeight="1" ht="11.25" hidden="1">
      <c r="A42" s="1386"/>
      <c r="B42" s="1386"/>
      <c r="C42" s="1386"/>
      <c r="D42" s="1386"/>
      <c r="E42" s="1386"/>
      <c r="F42" s="1386"/>
      <c r="G42" s="1386"/>
      <c r="H42" s="1386"/>
      <c r="I42" s="1386"/>
      <c r="J42" s="1386"/>
      <c r="K42" s="1386"/>
      <c r="L42" s="1380"/>
      <c r="M42" s="1378"/>
      <c r="N42" s="1378"/>
      <c r="O42" s="1378"/>
      <c r="P42" s="1262"/>
      <c r="Q42" s="1263"/>
      <c r="R42" s="1270">
        <v>1</v>
      </c>
      <c r="S42" s="1293" t="s">
        <v>141</v>
      </c>
      <c r="T42" s="1271" t="s">
        <v>107</v>
      </c>
      <c r="U42" s="1261" t="str">
        <f>OFFSET(U42,0,-1)</f>
        <v>2</v>
      </c>
      <c r="V42" s="1351">
        <f>OFFSET(V42,0,-1)+1</f>
        <v>3</v>
      </c>
      <c r="W42" s="1351"/>
      <c r="X42" s="1351">
        <f>OFFSET(X42,0,-1)+1</f>
        <v>1</v>
      </c>
      <c r="Y42" s="1351">
        <f>OFFSET(Y42,0,-1)+1</f>
        <v>2</v>
      </c>
      <c r="Z42" s="1351">
        <f>OFFSET(Z42,0,-1)+1</f>
        <v>3</v>
      </c>
      <c r="AA42" s="2288">
        <f>OFFSET(AA42,0,-1)+1</f>
        <v>4</v>
      </c>
      <c r="AB42" s="2288"/>
      <c r="AC42" s="1351">
        <f>OFFSET(AC42,0,-2)+1</f>
        <v>5</v>
      </c>
      <c r="AD42" s="1351">
        <f>OFFSET(AD42,0,-1)+1</f>
        <v>6</v>
      </c>
      <c r="AE42" s="1351"/>
      <c r="AF42" s="1351">
        <f>OFFSET(AF42,0,-1)+1</f>
        <v>1</v>
      </c>
      <c r="AG42" s="1351">
        <f>OFFSET(AG42,0,-1)+1</f>
        <v>2</v>
      </c>
      <c r="AH42" s="1351">
        <f>OFFSET(AH42,0,-1)+1</f>
        <v>3</v>
      </c>
      <c r="AI42" s="2288">
        <f>OFFSET(AI42,0,-1)+1</f>
        <v>4</v>
      </c>
      <c r="AJ42" s="2288"/>
      <c r="AK42" s="1351">
        <f>OFFSET(AK42,0,-2)+1</f>
        <v>5</v>
      </c>
      <c r="AL42" s="1261">
        <f>OFFSET(AL42,0,-1)</f>
        <v>5</v>
      </c>
      <c r="AM42" s="1351">
        <f>OFFSET(AM42,0,-1)+1</f>
        <v>6</v>
      </c>
      <c r="AN42" s="527"/>
      <c r="AO42" s="527"/>
      <c r="AP42" s="527"/>
      <c r="AQ42" s="527"/>
      <c r="AR42" s="527"/>
      <c r="AS42" s="512">
        <v>0</v>
      </c>
    </row>
    <row customHeight="1" ht="22.049999999999997">
      <c r="A43" s="1379" t="s">
        <v>225</v>
      </c>
      <c r="B43" s="1379"/>
      <c r="C43" s="1379"/>
      <c r="D43" s="1379"/>
      <c r="E43" s="2274">
        <v>1</v>
      </c>
      <c r="F43" s="1379"/>
      <c r="G43" s="1379"/>
      <c r="H43" s="1379"/>
      <c r="I43" s="1379"/>
      <c r="J43" s="1379"/>
      <c r="K43" s="1379"/>
      <c r="L43" s="1380"/>
      <c r="M43" s="1381"/>
      <c r="N43" s="1381"/>
      <c r="O43" s="1381"/>
      <c r="P43" s="377"/>
      <c r="Q43" s="376"/>
      <c r="R43" s="371"/>
      <c r="S43" s="1352">
        <f>INDEX(PT_DIFFERENTIATION_NUM_NTAR,MATCH(A43,PT_DIFFERENTIATION_NTAR_ID,0))</f>
        <v>0</v>
      </c>
      <c r="T43" s="314"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6"/>
      <c r="AP43" s="516" t="str">
        <f>IF(T43="","",T43)</f>
        <v>Наименование тарифа</v>
      </c>
      <c r="AQ43" s="516"/>
      <c r="AR43" s="516"/>
      <c r="AS43" s="1171">
        <v>21</v>
      </c>
    </row>
    <row customHeight="1" ht="22.049999999999997">
      <c r="A44" s="1379" t="s">
        <v>225</v>
      </c>
      <c r="B44" s="1379" t="s">
        <v>226</v>
      </c>
      <c r="C44" s="1379"/>
      <c r="D44" s="1379"/>
      <c r="E44" s="2275"/>
      <c r="F44" s="2274">
        <v>1</v>
      </c>
      <c r="G44" s="1379"/>
      <c r="H44" s="1379"/>
      <c r="I44" s="1379"/>
      <c r="J44" s="1379"/>
      <c r="K44" s="1379"/>
      <c r="L44" s="1380"/>
      <c r="M44" s="1381"/>
      <c r="N44" s="1381"/>
      <c r="O44" s="1381"/>
      <c r="P44" s="1348"/>
      <c r="Q44" s="368"/>
      <c r="R44" s="369"/>
      <c r="S44" s="1352" t="str">
        <f>INDEX(PT_DIFFERENTIATION_NUM_TER,MATCH(B44,PT_DIFFERENTIATION_TER_ID,0))</f>
        <v>.</v>
      </c>
      <c r="T44" s="324"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516"/>
      <c r="AP44" s="516" t="str">
        <f>IF(T44="","",T44)</f>
        <v>Территория действия тарифа</v>
      </c>
      <c r="AQ44" s="516"/>
      <c r="AR44" s="516"/>
      <c r="AS44" s="1171">
        <v>21</v>
      </c>
    </row>
    <row customHeight="1" ht="24">
      <c r="A45" s="1379" t="s">
        <v>225</v>
      </c>
      <c r="B45" s="1379" t="s">
        <v>226</v>
      </c>
      <c r="C45" s="1379" t="s">
        <v>227</v>
      </c>
      <c r="D45" s="1379"/>
      <c r="E45" s="2275"/>
      <c r="F45" s="2275"/>
      <c r="G45" s="2274">
        <v>1</v>
      </c>
      <c r="H45" s="1379"/>
      <c r="I45" s="1379"/>
      <c r="J45" s="1379"/>
      <c r="K45" s="1379"/>
      <c r="L45" s="1380"/>
      <c r="M45" s="1381"/>
      <c r="N45" s="1381"/>
      <c r="O45" s="1381"/>
      <c r="P45" s="370"/>
      <c r="Q45" s="368"/>
      <c r="R45" s="369"/>
      <c r="S45" s="1352"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516"/>
      <c r="AP45" s="516" t="str">
        <f>IF(T45="","",T45)</f>
        <v>Наименование системы теплоснабжения </v>
      </c>
      <c r="AQ45" s="516"/>
      <c r="AR45" s="516"/>
      <c r="AS45" s="1171">
        <v>23</v>
      </c>
    </row>
    <row customHeight="1" ht="22.049999999999997">
      <c r="A46" s="1379" t="s">
        <v>225</v>
      </c>
      <c r="B46" s="1379" t="s">
        <v>226</v>
      </c>
      <c r="C46" s="1379" t="s">
        <v>227</v>
      </c>
      <c r="D46" s="1379" t="s">
        <v>228</v>
      </c>
      <c r="E46" s="2275"/>
      <c r="F46" s="2275"/>
      <c r="G46" s="2275"/>
      <c r="H46" s="2274">
        <v>1</v>
      </c>
      <c r="I46" s="1379"/>
      <c r="J46" s="1379"/>
      <c r="K46" s="1379"/>
      <c r="L46" s="1380"/>
      <c r="M46" s="1381"/>
      <c r="N46" s="1381"/>
      <c r="O46" s="1381"/>
      <c r="P46" s="370"/>
      <c r="Q46" s="368"/>
      <c r="R46" s="369"/>
      <c r="S46" s="1352"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516"/>
      <c r="AP46" s="516" t="str">
        <f>IF(T46="","",T46)</f>
        <v>Источник тепловой энергии  </v>
      </c>
      <c r="AQ46" s="516"/>
      <c r="AR46" s="516"/>
      <c r="AS46" s="1171">
        <v>21</v>
      </c>
    </row>
    <row customHeight="1" ht="49.5">
      <c r="A47" s="1379" t="s">
        <v>225</v>
      </c>
      <c r="B47" s="1379" t="s">
        <v>226</v>
      </c>
      <c r="C47" s="1379" t="s">
        <v>227</v>
      </c>
      <c r="D47" s="1379" t="s">
        <v>228</v>
      </c>
      <c r="E47" s="2275"/>
      <c r="F47" s="2275"/>
      <c r="G47" s="2275"/>
      <c r="H47" s="2275"/>
      <c r="I47" s="2272" t="str">
        <f>S46&amp;".1"</f>
        <v>....1</v>
      </c>
      <c r="J47" s="1379"/>
      <c r="K47" s="1379"/>
      <c r="L47" s="1380" t="s">
        <v>556</v>
      </c>
      <c r="P47" s="2273">
        <v>1</v>
      </c>
      <c r="Q47" s="1347"/>
      <c r="R47" s="372"/>
      <c r="S47" s="1352" t="str">
        <f>$I47</f>
        <v>....1</v>
      </c>
      <c r="T47" s="301" t="s">
        <v>557</v>
      </c>
      <c r="U47" s="316"/>
      <c r="V47" s="2261"/>
      <c r="W47" s="2262"/>
      <c r="X47" s="2262"/>
      <c r="Y47" s="2262"/>
      <c r="Z47" s="2262"/>
      <c r="AA47" s="2262"/>
      <c r="AB47" s="2262"/>
      <c r="AC47" s="2263"/>
      <c r="AD47" s="2261"/>
      <c r="AE47" s="2262"/>
      <c r="AF47" s="2262"/>
      <c r="AG47" s="2262"/>
      <c r="AH47" s="2262"/>
      <c r="AI47" s="2262"/>
      <c r="AJ47" s="2262"/>
      <c r="AK47" s="2262"/>
      <c r="AL47" s="2263"/>
      <c r="AM47" s="1274" t="s">
        <v>558</v>
      </c>
      <c r="AO47" s="516"/>
      <c r="AP47" s="516" t="str">
        <f>IF(T47="","",T47)</f>
        <v>Схема подключения теплопотребляющей установки к коллектору источника тепловой энергии</v>
      </c>
      <c r="AQ47" s="516"/>
      <c r="AR47" s="516"/>
      <c r="AS47" s="1171">
        <v>47</v>
      </c>
    </row>
    <row customHeight="1" ht="22.049999999999997">
      <c r="A48" s="1379" t="s">
        <v>225</v>
      </c>
      <c r="B48" s="1379" t="s">
        <v>226</v>
      </c>
      <c r="C48" s="1379" t="s">
        <v>227</v>
      </c>
      <c r="D48" s="1379" t="s">
        <v>228</v>
      </c>
      <c r="E48" s="2275"/>
      <c r="F48" s="2275"/>
      <c r="G48" s="2275"/>
      <c r="H48" s="2275"/>
      <c r="I48" s="2302"/>
      <c r="J48" s="2272" t="str">
        <f>I47&amp;".1"</f>
        <v>....1.1</v>
      </c>
      <c r="K48" s="1379"/>
      <c r="L48" s="1380" t="s">
        <v>559</v>
      </c>
      <c r="P48" s="2273"/>
      <c r="Q48" s="2273">
        <v>1</v>
      </c>
      <c r="R48" s="373"/>
      <c r="S48" s="1352" t="str">
        <f>$J48</f>
        <v>....1.1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516"/>
      <c r="AP48" s="516" t="str">
        <f>IF(T48="","",T48)</f>
        <v>Группа потребителей</v>
      </c>
      <c r="AQ48" s="516"/>
      <c r="AR48" s="516"/>
      <c r="AS48" s="1171">
        <v>21</v>
      </c>
    </row>
    <row customHeight="1" ht="22.049999999999997">
      <c r="A49" s="1379" t="s">
        <v>225</v>
      </c>
      <c r="B49" s="1379" t="s">
        <v>226</v>
      </c>
      <c r="C49" s="1379" t="s">
        <v>227</v>
      </c>
      <c r="D49" s="1379" t="s">
        <v>228</v>
      </c>
      <c r="E49" s="2275"/>
      <c r="F49" s="2275"/>
      <c r="G49" s="2275"/>
      <c r="H49" s="2275"/>
      <c r="I49" s="2302"/>
      <c r="J49" s="2302"/>
      <c r="K49" s="2272" t="str">
        <f>J48&amp;".1"</f>
        <v>....1.1.1</v>
      </c>
      <c r="L49" s="1380" t="s">
        <v>562</v>
      </c>
      <c r="P49" s="2273"/>
      <c r="Q49" s="2273"/>
      <c r="R49" s="373">
        <v>1</v>
      </c>
      <c r="S49" s="1352" t="str">
        <f>$K49</f>
        <v>....1.1.1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563</v>
      </c>
      <c r="AN49" s="527">
        <f>STRCHECKDATE(V50:AL50)</f>
      </c>
      <c r="AO49" s="516"/>
      <c r="AP49" s="516" t="str">
        <f>IF(T49="","",T49)</f>
        <v/>
      </c>
      <c r="AQ49" s="516"/>
      <c r="AR49" s="516"/>
      <c r="AS49" s="1171">
        <v>21</v>
      </c>
    </row>
    <row customHeight="1" ht="1.05">
      <c r="A50" s="1379" t="s">
        <v>225</v>
      </c>
      <c r="B50" s="1379" t="s">
        <v>226</v>
      </c>
      <c r="C50" s="1379" t="s">
        <v>227</v>
      </c>
      <c r="D50" s="1379" t="s">
        <v>228</v>
      </c>
      <c r="E50" s="2275"/>
      <c r="F50" s="2275"/>
      <c r="G50" s="2275"/>
      <c r="H50" s="2275"/>
      <c r="I50" s="2302"/>
      <c r="J50" s="2302"/>
      <c r="K50" s="2272"/>
      <c r="L50" s="1380"/>
      <c r="P50" s="2273"/>
      <c r="Q50" s="2273"/>
      <c r="R50" s="373"/>
      <c r="S50" s="1358"/>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516"/>
      <c r="AP50" s="516" t="str">
        <f>IF(T50="","",T50)</f>
        <v/>
      </c>
      <c r="AQ50" s="516"/>
      <c r="AR50" s="516"/>
      <c r="AS50" s="1171">
        <v>1</v>
      </c>
    </row>
    <row customHeight="1" ht="11.549999999999999">
      <c r="A51" s="1379" t="s">
        <v>225</v>
      </c>
      <c r="B51" s="1379" t="s">
        <v>226</v>
      </c>
      <c r="C51" s="1379" t="s">
        <v>227</v>
      </c>
      <c r="D51" s="1379" t="s">
        <v>228</v>
      </c>
      <c r="E51" s="2275"/>
      <c r="F51" s="2275"/>
      <c r="G51" s="2275"/>
      <c r="H51" s="2275"/>
      <c r="I51" s="2302"/>
      <c r="J51" s="2272"/>
      <c r="K51" s="1379"/>
      <c r="L51" s="1380"/>
      <c r="P51" s="2273"/>
      <c r="Q51" s="2273"/>
      <c r="R51" s="372"/>
      <c r="S51" s="1294"/>
      <c r="T51" s="304" t="s">
        <v>564</v>
      </c>
      <c r="U51" s="383"/>
      <c r="V51" s="383"/>
      <c r="W51" s="383"/>
      <c r="X51" s="383"/>
      <c r="Y51" s="383"/>
      <c r="Z51" s="383"/>
      <c r="AA51" s="383"/>
      <c r="AB51" s="383"/>
      <c r="AC51" s="383"/>
      <c r="AD51" s="383"/>
      <c r="AE51" s="383"/>
      <c r="AF51" s="383"/>
      <c r="AG51" s="383"/>
      <c r="AH51" s="383"/>
      <c r="AI51" s="383"/>
      <c r="AJ51" s="383"/>
      <c r="AK51" s="383"/>
      <c r="AL51" s="340"/>
      <c r="AM51" s="2271"/>
      <c r="AO51" s="516"/>
      <c r="AP51" s="516" t="str">
        <f>IF(T51="","",T51)</f>
        <v>Добавить вид теплоносителя (параметры теплоносителя)</v>
      </c>
      <c r="AQ51" s="516"/>
      <c r="AR51" s="516"/>
      <c r="AS51" s="1171">
        <v>11</v>
      </c>
    </row>
    <row customHeight="1" ht="11.549999999999999">
      <c r="A52" s="1379" t="s">
        <v>225</v>
      </c>
      <c r="B52" s="1379" t="s">
        <v>226</v>
      </c>
      <c r="C52" s="1379" t="s">
        <v>227</v>
      </c>
      <c r="D52" s="1379" t="s">
        <v>228</v>
      </c>
      <c r="E52" s="2275"/>
      <c r="F52" s="2275"/>
      <c r="G52" s="2275"/>
      <c r="H52" s="2275"/>
      <c r="I52" s="2272"/>
      <c r="J52" s="1379"/>
      <c r="K52" s="1379"/>
      <c r="L52" s="1380"/>
      <c r="P52" s="2273"/>
      <c r="Q52" s="1347"/>
      <c r="R52" s="372"/>
      <c r="S52" s="1294"/>
      <c r="T52" s="303" t="s">
        <v>565</v>
      </c>
      <c r="U52" s="383"/>
      <c r="V52" s="383"/>
      <c r="W52" s="383"/>
      <c r="X52" s="383"/>
      <c r="Y52" s="383"/>
      <c r="Z52" s="383"/>
      <c r="AA52" s="383"/>
      <c r="AB52" s="383"/>
      <c r="AC52" s="382"/>
      <c r="AD52" s="383"/>
      <c r="AE52" s="383"/>
      <c r="AF52" s="383"/>
      <c r="AG52" s="383"/>
      <c r="AH52" s="383"/>
      <c r="AI52" s="383"/>
      <c r="AJ52" s="383"/>
      <c r="AK52" s="382"/>
      <c r="AL52" s="383"/>
      <c r="AM52" s="319"/>
      <c r="AO52" s="516"/>
      <c r="AP52" s="516" t="str">
        <f>IF(T52="","",T52)</f>
        <v>Добавить группу потребителей</v>
      </c>
      <c r="AQ52" s="516"/>
      <c r="AR52" s="516"/>
      <c r="AS52" s="1171">
        <v>11</v>
      </c>
    </row>
    <row customHeight="1" ht="14.699999999999998">
      <c r="A53" s="1379" t="s">
        <v>225</v>
      </c>
      <c r="B53" s="1379" t="s">
        <v>226</v>
      </c>
      <c r="C53" s="1379" t="s">
        <v>227</v>
      </c>
      <c r="D53" s="1379" t="s">
        <v>228</v>
      </c>
      <c r="E53" s="2275"/>
      <c r="F53" s="2275"/>
      <c r="G53" s="2275"/>
      <c r="H53" s="2274"/>
      <c r="I53" s="1379"/>
      <c r="J53" s="1379"/>
      <c r="K53" s="1379"/>
      <c r="L53" s="1380"/>
      <c r="M53" s="1381"/>
      <c r="N53" s="1381"/>
      <c r="O53" s="553"/>
      <c r="P53" s="376"/>
      <c r="Q53" s="391"/>
      <c r="R53" s="371"/>
      <c r="S53" s="1294"/>
      <c r="T53" s="381" t="s">
        <v>566</v>
      </c>
      <c r="U53" s="383"/>
      <c r="V53" s="383"/>
      <c r="W53" s="383"/>
      <c r="X53" s="383"/>
      <c r="Y53" s="383"/>
      <c r="Z53" s="383"/>
      <c r="AA53" s="383"/>
      <c r="AB53" s="383"/>
      <c r="AC53" s="382"/>
      <c r="AD53" s="383"/>
      <c r="AE53" s="383"/>
      <c r="AF53" s="383"/>
      <c r="AG53" s="383"/>
      <c r="AH53" s="383"/>
      <c r="AI53" s="383"/>
      <c r="AJ53" s="383"/>
      <c r="AK53" s="382"/>
      <c r="AL53" s="383"/>
      <c r="AM53" s="319"/>
      <c r="AO53" s="516"/>
      <c r="AP53" s="516" t="str">
        <f>IF(T53="","",T53)</f>
        <v>Добавить схему подключения</v>
      </c>
      <c r="AQ53" s="516"/>
      <c r="AR53" s="516"/>
      <c r="AS53" s="1171">
        <v>14</v>
      </c>
    </row>
    <row s="1658" customFormat="1" customHeight="1" ht="1.05">
      <c r="A54" s="1359" t="s">
        <v>225</v>
      </c>
      <c r="B54" s="1359" t="s">
        <v>226</v>
      </c>
      <c r="C54" s="1359" t="s">
        <v>227</v>
      </c>
      <c r="D54" s="1330"/>
      <c r="E54" s="2275"/>
      <c r="F54" s="2275"/>
      <c r="G54" s="2274"/>
      <c r="H54" s="1330"/>
      <c r="I54" s="1330"/>
      <c r="J54" s="1330"/>
      <c r="K54" s="1330"/>
      <c r="L54" s="1355"/>
      <c r="M54" s="1331"/>
      <c r="N54" s="133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805"/>
      <c r="AP54" s="805" t="str">
        <f>IF(T54="","",T54)</f>
        <v>Добавить источник для дифференциации</v>
      </c>
      <c r="AQ54" s="805"/>
      <c r="AR54" s="805"/>
      <c r="AS54" s="534">
        <v>1</v>
      </c>
    </row>
    <row s="1658" customFormat="1" customHeight="1" ht="1.05">
      <c r="A55" s="1359" t="s">
        <v>225</v>
      </c>
      <c r="B55" s="1359" t="s">
        <v>226</v>
      </c>
      <c r="C55" s="1330"/>
      <c r="D55" s="1330"/>
      <c r="E55" s="2275"/>
      <c r="F55" s="2274"/>
      <c r="G55" s="1330"/>
      <c r="H55" s="1330"/>
      <c r="I55" s="1330"/>
      <c r="J55" s="1330"/>
      <c r="K55" s="1330"/>
      <c r="L55" s="1355"/>
      <c r="M55" s="1337"/>
      <c r="N55" s="133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805"/>
      <c r="AP55" s="805" t="str">
        <f>IF(T55="","",T55)</f>
        <v>Добавить централизованную систему для дифференциации</v>
      </c>
      <c r="AQ55" s="805"/>
      <c r="AR55" s="805"/>
      <c r="AS55" s="534">
        <v>1</v>
      </c>
    </row>
    <row s="1658" customFormat="1" customHeight="1" ht="1.05">
      <c r="A56" s="1359" t="s">
        <v>225</v>
      </c>
      <c r="B56" s="1359"/>
      <c r="C56" s="1359"/>
      <c r="D56" s="1359"/>
      <c r="E56" s="2274"/>
      <c r="F56" s="1359"/>
      <c r="G56" s="1359"/>
      <c r="H56" s="1359"/>
      <c r="I56" s="1359"/>
      <c r="J56" s="1359"/>
      <c r="K56" s="1359"/>
      <c r="L56" s="1362"/>
      <c r="M56" s="1337"/>
      <c r="N56" s="1337"/>
      <c r="O56" s="534"/>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516"/>
      <c r="AP56" s="516" t="str">
        <f>IF(T56="","",T56)</f>
        <v>Добавить территорию для дифференциации</v>
      </c>
      <c r="AQ56" s="516"/>
      <c r="AR56" s="516"/>
      <c r="AS56" s="527">
        <v>1</v>
      </c>
    </row>
    <row s="1658" customFormat="1" customHeight="1" ht="1.05">
      <c r="A57" s="1330"/>
      <c r="B57" s="1330"/>
      <c r="C57" s="1330"/>
      <c r="D57" s="1330"/>
      <c r="E57" s="1359"/>
      <c r="F57" s="1330"/>
      <c r="G57" s="1330"/>
      <c r="H57" s="1330"/>
      <c r="I57" s="1330"/>
      <c r="J57" s="1330"/>
      <c r="K57" s="1330"/>
      <c r="L57" s="1355"/>
      <c r="M57" s="1337"/>
      <c r="N57" s="133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805"/>
      <c r="AP57" s="805" t="str">
        <f>IF(T57="","",T57)</f>
        <v>Добавить наименование тарифа</v>
      </c>
      <c r="AQ57" s="805"/>
      <c r="AR57" s="805"/>
      <c r="AS57" s="534">
        <v>1</v>
      </c>
    </row>
    <row customHeight="1" ht="11.549999999999999">
      <c r="M58" s="1176"/>
      <c r="N58" s="1176"/>
      <c r="O58" s="553"/>
      <c r="P58" s="1171"/>
      <c r="Q58" s="1171"/>
      <c r="R58" s="1171"/>
      <c r="S58" s="1171"/>
      <c r="AN58" s="1171"/>
      <c r="AO58" s="1171"/>
      <c r="AP58" s="1171"/>
      <c r="AQ58" s="1171"/>
      <c r="AR58" s="1171"/>
      <c r="AS58" s="1171">
        <v>11</v>
      </c>
    </row>
    <row customHeight="1" ht="28.5">
      <c r="O59" s="553"/>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71">
        <v>27</v>
      </c>
    </row>
    <row customHeight="1" ht="65.25">
      <c r="O60" s="553"/>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71">
        <v>62</v>
      </c>
    </row>
    <row customHeight="1" ht="14.699999999999998">
      <c r="O61" s="553"/>
      <c r="AS61" s="1171">
        <v>14</v>
      </c>
    </row>
    <row customHeight="1" ht="18.75">
      <c r="O62" s="553"/>
      <c r="S62" s="1269"/>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71">
        <v>18</v>
      </c>
    </row>
    <row customHeight="1" ht="18.75">
      <c r="O63" s="553"/>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71">
        <v>18</v>
      </c>
    </row>
    <row customHeight="1" ht="29.25">
      <c r="O64" s="553"/>
      <c r="S64" s="1269"/>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71">
        <v>28</v>
      </c>
    </row>
    <row customHeight="1" ht="22.5" hidden="1">
      <c r="A65" s="1176" t="s">
        <v>85</v>
      </c>
      <c r="B65" s="1176">
        <v>0</v>
      </c>
      <c r="C65" s="1176">
        <v>0</v>
      </c>
      <c r="D65" s="1176">
        <v>0</v>
      </c>
      <c r="E65" s="1176">
        <v>0</v>
      </c>
      <c r="F65" s="1176">
        <v>0</v>
      </c>
      <c r="G65" s="1176">
        <v>0</v>
      </c>
      <c r="H65" s="1176">
        <v>0</v>
      </c>
      <c r="I65" s="1176">
        <v>0</v>
      </c>
      <c r="J65" s="1176">
        <v>0</v>
      </c>
      <c r="K65" s="1176">
        <v>0</v>
      </c>
      <c r="L65" s="1345">
        <v>0</v>
      </c>
      <c r="M65" s="1378">
        <v>0</v>
      </c>
      <c r="N65" s="1378">
        <v>0</v>
      </c>
      <c r="O65" s="1378">
        <v>0</v>
      </c>
      <c r="P65" s="1344">
        <v>3</v>
      </c>
      <c r="Q65" s="360">
        <v>3</v>
      </c>
      <c r="R65" s="360">
        <v>3</v>
      </c>
      <c r="S65" s="597">
        <v>12</v>
      </c>
      <c r="T65" s="1171">
        <v>31</v>
      </c>
      <c r="U65" s="1171">
        <v>0</v>
      </c>
      <c r="V65" s="1171">
        <v>0</v>
      </c>
      <c r="W65" s="1171">
        <v>0</v>
      </c>
      <c r="X65" s="1171">
        <v>0</v>
      </c>
      <c r="Y65" s="1171">
        <v>0</v>
      </c>
      <c r="Z65" s="1171">
        <v>0</v>
      </c>
      <c r="AA65" s="1171">
        <v>0</v>
      </c>
      <c r="AB65" s="1171">
        <v>0</v>
      </c>
      <c r="AC65" s="1171">
        <v>0</v>
      </c>
      <c r="AD65" s="1171">
        <v>24</v>
      </c>
      <c r="AE65" s="1171">
        <v>0</v>
      </c>
      <c r="AF65" s="1171">
        <v>24</v>
      </c>
      <c r="AG65" s="1171">
        <v>24</v>
      </c>
      <c r="AH65" s="1171">
        <v>11</v>
      </c>
      <c r="AI65" s="1171">
        <v>3</v>
      </c>
      <c r="AJ65" s="1171">
        <v>11</v>
      </c>
      <c r="AK65" s="1171">
        <v>0</v>
      </c>
      <c r="AL65" s="1171">
        <v>4</v>
      </c>
      <c r="AM65" s="1171">
        <v>115</v>
      </c>
      <c r="AN65" s="527">
        <v>10</v>
      </c>
      <c r="AO65" s="527">
        <v>10</v>
      </c>
      <c r="AP65" s="527">
        <v>10</v>
      </c>
      <c r="AQ65" s="527">
        <v>10</v>
      </c>
      <c r="AR65" s="527">
        <v>10</v>
      </c>
      <c r="AS65" s="117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CA4F6-4F28-1739-3AA4-EDE850EA9C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1" width="10.57421875" hidden="1"/>
    <col min="2" max="2" style="1651" width="11.00390625" hidden="1" customWidth="1"/>
    <col min="3" max="3" style="1651" width="10.57421875" hidden="1"/>
    <col min="4" max="4" style="1651" width="11.8515625" hidden="1" customWidth="1"/>
    <col min="5" max="5" style="1651" width="10.00390625" hidden="1" customWidth="1"/>
    <col min="6" max="6" style="1651" width="8.7109375" hidden="1" customWidth="1"/>
    <col min="7" max="7" style="1651" width="7.57421875" hidden="1" customWidth="1"/>
    <col min="8" max="8" style="1651" width="11.421875" hidden="1" customWidth="1"/>
    <col min="9" max="9" style="1651" width="12.00390625" hidden="1" customWidth="1"/>
    <col min="10" max="10" style="1651" width="9.8515625" hidden="1" customWidth="1"/>
    <col min="11" max="11" style="1651"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60" width="3.00390625" customWidth="1"/>
    <col min="19" max="19" style="2423" width="12.00390625" customWidth="1"/>
    <col min="20" max="20" style="1651" width="31.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AS1" s="1647" t="s">
        <v>14</v>
      </c>
    </row>
    <row customHeight="1" ht="21" hidden="1">
      <c r="A2" s="1283"/>
      <c r="B2" s="1283"/>
      <c r="C2" s="1283"/>
      <c r="D2" s="1283"/>
      <c r="E2" s="2305">
        <v>1</v>
      </c>
      <c r="F2" s="1283"/>
      <c r="G2" s="1283"/>
      <c r="H2" s="1283"/>
      <c r="I2" s="1283"/>
      <c r="J2" s="1283"/>
      <c r="K2" s="1283"/>
      <c r="L2" s="1326"/>
      <c r="M2" s="1626"/>
      <c r="N2" s="1626"/>
      <c r="O2" s="1626"/>
      <c r="P2" s="1606"/>
      <c r="Q2" s="376"/>
      <c r="R2" s="371"/>
      <c r="S2" s="1974">
        <f>INDEX(PT_DIFFERENTIATION_NUM_NTAR,MATCH(A2,PT_DIFFERENTIATION_NTAR_ID,0))</f>
      </c>
      <c r="T2" s="1541"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1640"/>
      <c r="AP2" s="1640" t="str">
        <f>IF(T2="","",T2)</f>
        <v>Наименование тарифа</v>
      </c>
      <c r="AQ2" s="1640"/>
      <c r="AR2" s="1640"/>
      <c r="AS2" s="1647">
        <v>0</v>
      </c>
    </row>
    <row customHeight="1" ht="21" hidden="1">
      <c r="A3" s="1283"/>
      <c r="B3" s="1283"/>
      <c r="C3" s="1283"/>
      <c r="D3" s="1283"/>
      <c r="E3" s="2306"/>
      <c r="F3" s="2305">
        <v>1</v>
      </c>
      <c r="G3" s="1283"/>
      <c r="H3" s="1283"/>
      <c r="I3" s="1283"/>
      <c r="J3" s="1283"/>
      <c r="K3" s="1283"/>
      <c r="L3" s="1326"/>
      <c r="M3" s="1626"/>
      <c r="N3" s="1626"/>
      <c r="O3" s="1626"/>
      <c r="P3" s="1956"/>
      <c r="Q3" s="368"/>
      <c r="R3" s="369"/>
      <c r="S3" s="1974">
        <f>INDEX(PT_DIFFERENTIATION_NUM_TER,MATCH(B3,PT_DIFFERENTIATION_TER_ID,0))</f>
      </c>
      <c r="T3" s="1538"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1640"/>
      <c r="AP3" s="1640" t="str">
        <f>IF(T3="","",T3)</f>
        <v>Территория действия тарифа</v>
      </c>
      <c r="AQ3" s="1640"/>
      <c r="AR3" s="1640"/>
      <c r="AS3" s="1647">
        <v>0</v>
      </c>
    </row>
    <row customHeight="1" ht="23.25" hidden="1">
      <c r="A4" s="1283"/>
      <c r="B4" s="1283"/>
      <c r="C4" s="1283"/>
      <c r="D4" s="1283"/>
      <c r="E4" s="2306"/>
      <c r="F4" s="2306"/>
      <c r="G4" s="2305">
        <v>1</v>
      </c>
      <c r="H4" s="1283"/>
      <c r="I4" s="1283"/>
      <c r="J4" s="1283"/>
      <c r="K4" s="1283"/>
      <c r="L4" s="1326"/>
      <c r="M4" s="1626"/>
      <c r="N4" s="1626"/>
      <c r="O4" s="1626"/>
      <c r="P4" s="370"/>
      <c r="Q4" s="368"/>
      <c r="R4" s="369"/>
      <c r="S4" s="1974">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1640"/>
      <c r="AP4" s="1640" t="str">
        <f>IF(T4="","",T4)</f>
        <v>Наименование системы теплоснабжения </v>
      </c>
      <c r="AQ4" s="1640"/>
      <c r="AR4" s="1640"/>
      <c r="AS4" s="1647">
        <v>0</v>
      </c>
    </row>
    <row customHeight="1" ht="21" hidden="1">
      <c r="A5" s="1283"/>
      <c r="B5" s="1283"/>
      <c r="C5" s="1283"/>
      <c r="D5" s="1283"/>
      <c r="E5" s="2306"/>
      <c r="F5" s="2306"/>
      <c r="G5" s="2306"/>
      <c r="H5" s="2305">
        <v>1</v>
      </c>
      <c r="I5" s="1283"/>
      <c r="J5" s="1283"/>
      <c r="K5" s="1283"/>
      <c r="L5" s="1326"/>
      <c r="M5" s="1626"/>
      <c r="N5" s="1626"/>
      <c r="O5" s="1626"/>
      <c r="P5" s="370"/>
      <c r="Q5" s="368"/>
      <c r="R5" s="369"/>
      <c r="S5" s="1974">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1640"/>
      <c r="AP5" s="1640" t="str">
        <f>IF(T5="","",T5)</f>
        <v>Источник тепловой энергии  </v>
      </c>
      <c r="AQ5" s="1640"/>
      <c r="AR5" s="1640"/>
      <c r="AS5" s="1647">
        <v>0</v>
      </c>
    </row>
    <row customHeight="1" ht="47.25" hidden="1">
      <c r="A6" s="1283"/>
      <c r="B6" s="1283"/>
      <c r="C6" s="1283"/>
      <c r="D6" s="1283"/>
      <c r="E6" s="2306"/>
      <c r="F6" s="2306"/>
      <c r="G6" s="2306"/>
      <c r="H6" s="2306"/>
      <c r="I6" s="2143">
        <f>S5&amp;".1"</f>
      </c>
      <c r="J6" s="1283"/>
      <c r="K6" s="1283"/>
      <c r="L6" s="1326" t="s">
        <v>556</v>
      </c>
      <c r="M6" s="1651"/>
      <c r="P6" s="2273">
        <v>1</v>
      </c>
      <c r="Q6" s="1970"/>
      <c r="R6" s="372"/>
      <c r="S6" s="1974">
        <f>$I6</f>
      </c>
      <c r="T6" s="301" t="s">
        <v>557</v>
      </c>
      <c r="U6" s="316"/>
      <c r="V6" s="2261"/>
      <c r="W6" s="2262"/>
      <c r="X6" s="2262"/>
      <c r="Y6" s="2262"/>
      <c r="Z6" s="2262"/>
      <c r="AA6" s="2262"/>
      <c r="AB6" s="2262"/>
      <c r="AC6" s="2263"/>
      <c r="AD6" s="2261"/>
      <c r="AE6" s="2262"/>
      <c r="AF6" s="2262"/>
      <c r="AG6" s="2262"/>
      <c r="AH6" s="2262"/>
      <c r="AI6" s="2262"/>
      <c r="AJ6" s="2262"/>
      <c r="AK6" s="2262"/>
      <c r="AL6" s="2263"/>
      <c r="AM6" s="1274" t="s">
        <v>558</v>
      </c>
      <c r="AO6" s="1640"/>
      <c r="AP6" s="1640" t="str">
        <f>IF(T6="","",T6)</f>
        <v>Схема подключения теплопотребляющей установки к коллектору источника тепловой энергии</v>
      </c>
      <c r="AQ6" s="1640"/>
      <c r="AR6" s="1640"/>
      <c r="AS6" s="1647">
        <v>0</v>
      </c>
    </row>
    <row customHeight="1" ht="21" hidden="1">
      <c r="A7" s="1283"/>
      <c r="B7" s="1283"/>
      <c r="C7" s="1283"/>
      <c r="D7" s="1283"/>
      <c r="E7" s="2306"/>
      <c r="F7" s="2306"/>
      <c r="G7" s="2306"/>
      <c r="H7" s="2306"/>
      <c r="I7" s="2117"/>
      <c r="J7" s="2143">
        <f>I6&amp;".1"</f>
      </c>
      <c r="K7" s="1283"/>
      <c r="L7" s="1326" t="s">
        <v>559</v>
      </c>
      <c r="M7" s="1651"/>
      <c r="N7" s="1647"/>
      <c r="P7" s="2273"/>
      <c r="Q7" s="2273">
        <v>1</v>
      </c>
      <c r="R7" s="373"/>
      <c r="S7" s="1974">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1640"/>
      <c r="AP7" s="1640" t="str">
        <f>IF(T7="","",T7)</f>
        <v>Группа потребителей</v>
      </c>
      <c r="AQ7" s="1640"/>
      <c r="AR7" s="1640"/>
      <c r="AS7" s="1647">
        <v>0</v>
      </c>
    </row>
    <row customHeight="1" ht="21" hidden="1">
      <c r="A8" s="1283"/>
      <c r="B8" s="1283"/>
      <c r="C8" s="1283"/>
      <c r="D8" s="1283"/>
      <c r="E8" s="2306"/>
      <c r="F8" s="2306"/>
      <c r="G8" s="2306"/>
      <c r="H8" s="2306"/>
      <c r="I8" s="2117"/>
      <c r="J8" s="2117"/>
      <c r="K8" s="2143">
        <f>J7&amp;".1"</f>
      </c>
      <c r="L8" s="1326" t="s">
        <v>562</v>
      </c>
      <c r="M8" s="1651"/>
      <c r="N8" s="1647"/>
      <c r="O8" s="1647"/>
      <c r="P8" s="2273"/>
      <c r="Q8" s="2273"/>
      <c r="R8" s="373">
        <v>1</v>
      </c>
      <c r="S8" s="1974">
        <f>$K8</f>
      </c>
      <c r="T8" s="1363"/>
      <c r="U8" s="316"/>
      <c r="V8" s="767"/>
      <c r="W8" s="341"/>
      <c r="X8" s="767"/>
      <c r="Y8" s="1273"/>
      <c r="Z8" s="2281"/>
      <c r="AA8" s="2123" t="s">
        <v>64</v>
      </c>
      <c r="AB8" s="2281"/>
      <c r="AC8" s="2123" t="s">
        <v>64</v>
      </c>
      <c r="AD8" s="767"/>
      <c r="AE8" s="341"/>
      <c r="AF8" s="767"/>
      <c r="AG8" s="1273"/>
      <c r="AH8" s="2281"/>
      <c r="AI8" s="2123" t="s">
        <v>64</v>
      </c>
      <c r="AJ8" s="2281"/>
      <c r="AK8" s="2123" t="s">
        <v>64</v>
      </c>
      <c r="AL8" s="341"/>
      <c r="AM8" s="2269" t="s">
        <v>563</v>
      </c>
      <c r="AN8" s="1652">
        <f>STRCHECKDATE(V9:AL9)</f>
      </c>
      <c r="AO8" s="1640"/>
      <c r="AP8" s="1640" t="str">
        <f>IF(T8="","",T8)</f>
        <v/>
      </c>
      <c r="AQ8" s="1640"/>
      <c r="AR8" s="1640"/>
      <c r="AS8" s="1647">
        <v>0</v>
      </c>
    </row>
    <row customHeight="1" ht="0.75" hidden="1">
      <c r="A9" s="1283"/>
      <c r="B9" s="1283"/>
      <c r="C9" s="1283"/>
      <c r="D9" s="1283"/>
      <c r="E9" s="2306"/>
      <c r="F9" s="2306"/>
      <c r="G9" s="2306"/>
      <c r="H9" s="2306"/>
      <c r="I9" s="2117"/>
      <c r="J9" s="2117"/>
      <c r="K9" s="2143"/>
      <c r="L9" s="1326"/>
      <c r="M9" s="1651"/>
      <c r="N9" s="1647"/>
      <c r="O9" s="1647"/>
      <c r="P9" s="2273"/>
      <c r="Q9" s="2273"/>
      <c r="R9" s="373"/>
      <c r="S9" s="1983"/>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1640"/>
      <c r="AP9" s="1640" t="str">
        <f>IF(T9="","",T9)</f>
        <v/>
      </c>
      <c r="AQ9" s="1640"/>
      <c r="AR9" s="1640"/>
      <c r="AS9" s="1647">
        <v>0</v>
      </c>
    </row>
    <row customHeight="1" ht="15" hidden="1">
      <c r="A10" s="1283"/>
      <c r="B10" s="1283"/>
      <c r="C10" s="1283"/>
      <c r="D10" s="1283"/>
      <c r="E10" s="2306"/>
      <c r="F10" s="2306"/>
      <c r="G10" s="2306"/>
      <c r="H10" s="2306"/>
      <c r="I10" s="2117"/>
      <c r="J10" s="2143"/>
      <c r="K10" s="1283"/>
      <c r="L10" s="1326"/>
      <c r="M10" s="1651"/>
      <c r="N10" s="1647"/>
      <c r="P10" s="2273"/>
      <c r="Q10" s="2273"/>
      <c r="R10" s="372"/>
      <c r="S10" s="1294"/>
      <c r="T10" s="304" t="s">
        <v>564</v>
      </c>
      <c r="U10" s="616"/>
      <c r="V10" s="616"/>
      <c r="W10" s="616"/>
      <c r="X10" s="616"/>
      <c r="Y10" s="616"/>
      <c r="Z10" s="616"/>
      <c r="AA10" s="616"/>
      <c r="AB10" s="616"/>
      <c r="AC10" s="616"/>
      <c r="AD10" s="616"/>
      <c r="AE10" s="616"/>
      <c r="AF10" s="616"/>
      <c r="AG10" s="616"/>
      <c r="AH10" s="616"/>
      <c r="AI10" s="616"/>
      <c r="AJ10" s="616"/>
      <c r="AK10" s="616"/>
      <c r="AL10" s="340"/>
      <c r="AM10" s="2271"/>
      <c r="AO10" s="1640"/>
      <c r="AP10" s="1640" t="str">
        <f>IF(T10="","",T10)</f>
        <v>Добавить вид теплоносителя (параметры теплоносителя)</v>
      </c>
      <c r="AQ10" s="1640"/>
      <c r="AR10" s="1640"/>
      <c r="AS10" s="1647">
        <v>0</v>
      </c>
    </row>
    <row customHeight="1" ht="15" hidden="1">
      <c r="A11" s="1283"/>
      <c r="B11" s="1283"/>
      <c r="C11" s="1283"/>
      <c r="D11" s="1283"/>
      <c r="E11" s="2306"/>
      <c r="F11" s="2306"/>
      <c r="G11" s="2306"/>
      <c r="H11" s="2306"/>
      <c r="I11" s="2143"/>
      <c r="J11" s="1283"/>
      <c r="K11" s="1283"/>
      <c r="L11" s="1326"/>
      <c r="M11" s="1651"/>
      <c r="P11" s="2273"/>
      <c r="Q11" s="1970"/>
      <c r="R11" s="372"/>
      <c r="S11" s="1294"/>
      <c r="T11" s="303" t="s">
        <v>565</v>
      </c>
      <c r="U11" s="616"/>
      <c r="V11" s="616"/>
      <c r="W11" s="616"/>
      <c r="X11" s="616"/>
      <c r="Y11" s="616"/>
      <c r="Z11" s="616"/>
      <c r="AA11" s="616"/>
      <c r="AB11" s="616"/>
      <c r="AC11" s="382"/>
      <c r="AD11" s="616"/>
      <c r="AE11" s="616"/>
      <c r="AF11" s="616"/>
      <c r="AG11" s="616"/>
      <c r="AH11" s="616"/>
      <c r="AI11" s="616"/>
      <c r="AJ11" s="616"/>
      <c r="AK11" s="382"/>
      <c r="AL11" s="616"/>
      <c r="AM11" s="319"/>
      <c r="AO11" s="1640"/>
      <c r="AP11" s="1640" t="str">
        <f>IF(T11="","",T11)</f>
        <v>Добавить группу потребителей</v>
      </c>
      <c r="AQ11" s="1640"/>
      <c r="AR11" s="1640"/>
      <c r="AS11" s="1647">
        <v>0</v>
      </c>
    </row>
    <row customHeight="1" ht="14.25" hidden="1">
      <c r="A12" s="1283"/>
      <c r="B12" s="1283"/>
      <c r="C12" s="1283"/>
      <c r="D12" s="1283"/>
      <c r="E12" s="2306"/>
      <c r="F12" s="2306"/>
      <c r="G12" s="2306"/>
      <c r="H12" s="2305"/>
      <c r="I12" s="1283"/>
      <c r="J12" s="1283"/>
      <c r="K12" s="1283"/>
      <c r="L12" s="1326"/>
      <c r="M12" s="1626"/>
      <c r="N12" s="1626"/>
      <c r="O12" s="1651"/>
      <c r="P12" s="376"/>
      <c r="Q12" s="391"/>
      <c r="R12" s="371"/>
      <c r="S12" s="1294"/>
      <c r="T12" s="381" t="s">
        <v>566</v>
      </c>
      <c r="U12" s="616"/>
      <c r="V12" s="616"/>
      <c r="W12" s="616"/>
      <c r="X12" s="616"/>
      <c r="Y12" s="616"/>
      <c r="Z12" s="616"/>
      <c r="AA12" s="616"/>
      <c r="AB12" s="616"/>
      <c r="AC12" s="382"/>
      <c r="AD12" s="616"/>
      <c r="AE12" s="616"/>
      <c r="AF12" s="616"/>
      <c r="AG12" s="616"/>
      <c r="AH12" s="616"/>
      <c r="AI12" s="616"/>
      <c r="AJ12" s="616"/>
      <c r="AK12" s="382"/>
      <c r="AL12" s="616"/>
      <c r="AM12" s="319"/>
      <c r="AO12" s="1640"/>
      <c r="AP12" s="1640" t="str">
        <f>IF(T12="","",T12)</f>
        <v>Добавить схему подключения</v>
      </c>
      <c r="AQ12" s="1640"/>
      <c r="AR12" s="1640"/>
      <c r="AS12" s="1647">
        <v>0</v>
      </c>
    </row>
    <row s="1658" customFormat="1" customHeight="1" ht="0.75" hidden="1">
      <c r="A13" s="1390"/>
      <c r="B13" s="1390"/>
      <c r="C13" s="1390"/>
      <c r="D13" s="1390"/>
      <c r="E13" s="2306"/>
      <c r="F13" s="2306"/>
      <c r="G13" s="2305"/>
      <c r="H13" s="1390"/>
      <c r="I13" s="1390"/>
      <c r="J13" s="1390"/>
      <c r="K13" s="1390"/>
      <c r="L13" s="1393"/>
      <c r="M13" s="1394"/>
      <c r="N13" s="1394"/>
      <c r="O13" s="367"/>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1267"/>
      <c r="AP13" s="1267" t="str">
        <f>IF(T13="","",T13)</f>
        <v>Добавить источник для дифференциации</v>
      </c>
      <c r="AQ13" s="1267"/>
      <c r="AR13" s="1267"/>
      <c r="AS13" s="1658">
        <v>0</v>
      </c>
    </row>
    <row s="1658" customFormat="1" customHeight="1" ht="0.75" hidden="1">
      <c r="A14" s="1390"/>
      <c r="B14" s="1390"/>
      <c r="C14" s="1390"/>
      <c r="D14" s="1390"/>
      <c r="E14" s="2306"/>
      <c r="F14" s="2305"/>
      <c r="G14" s="1390"/>
      <c r="H14" s="1390"/>
      <c r="I14" s="1390"/>
      <c r="J14" s="1390"/>
      <c r="K14" s="1390"/>
      <c r="L14" s="1393"/>
      <c r="M14" s="1395"/>
      <c r="N14" s="1395"/>
      <c r="O14" s="36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1267"/>
      <c r="AP14" s="1267" t="str">
        <f>IF(T14="","",T14)</f>
        <v>Добавить централизованную систему для дифференциации</v>
      </c>
      <c r="AQ14" s="1267"/>
      <c r="AR14" s="1267"/>
      <c r="AS14" s="1658">
        <v>0</v>
      </c>
    </row>
    <row s="1658" customFormat="1" customHeight="1" ht="0.75" hidden="1">
      <c r="A15" s="1390"/>
      <c r="B15" s="1390"/>
      <c r="C15" s="1390"/>
      <c r="D15" s="1390"/>
      <c r="E15" s="2305"/>
      <c r="F15" s="1390"/>
      <c r="G15" s="1390"/>
      <c r="H15" s="1390"/>
      <c r="I15" s="1390"/>
      <c r="J15" s="1390"/>
      <c r="K15" s="1390"/>
      <c r="L15" s="1393"/>
      <c r="M15" s="1395"/>
      <c r="N15" s="1395"/>
      <c r="O15" s="36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1267"/>
      <c r="AP15" s="1267" t="str">
        <f>IF(T15="","",T15)</f>
        <v>Добавить территорию для дифференциации</v>
      </c>
      <c r="AQ15" s="1267"/>
      <c r="AR15" s="1267"/>
      <c r="AS15" s="1658">
        <v>0</v>
      </c>
    </row>
    <row customHeight="1" ht="14.25" hidden="1">
      <c r="AS16" s="1647">
        <v>0</v>
      </c>
    </row>
    <row customHeight="1" ht="14.25" hidden="1">
      <c r="AD17" s="1376"/>
      <c r="AE17" s="1376"/>
      <c r="AF17" s="1376"/>
      <c r="AG17" s="1377"/>
      <c r="AH17" s="2283"/>
      <c r="AI17" s="2284" t="s">
        <v>64</v>
      </c>
      <c r="AJ17" s="2283"/>
      <c r="AK17" s="2284" t="s">
        <v>64</v>
      </c>
      <c r="AS17" s="1647">
        <v>0</v>
      </c>
    </row>
    <row customHeight="1" ht="14.25" hidden="1">
      <c r="AD18" s="1376"/>
      <c r="AE18" s="1376"/>
      <c r="AF18" s="1376"/>
      <c r="AG18" s="344" t="str">
        <f>AH17&amp;"-"&amp;AJ17</f>
        <v>-</v>
      </c>
      <c r="AH18" s="2284"/>
      <c r="AI18" s="2284"/>
      <c r="AJ18" s="2284"/>
      <c r="AK18" s="2284"/>
      <c r="AS18" s="1647">
        <v>0</v>
      </c>
    </row>
    <row customHeight="1" ht="14.25" hidden="1">
      <c r="AS19" s="1647">
        <v>0</v>
      </c>
    </row>
    <row s="1382" customFormat="1" customHeight="1" ht="14.25" hidden="1">
      <c r="A20" s="1647"/>
      <c r="B20" s="1647"/>
      <c r="C20" s="1647"/>
      <c r="D20" s="1647"/>
      <c r="E20" s="1647"/>
      <c r="F20" s="1647"/>
      <c r="G20" s="1647"/>
      <c r="H20" s="1647"/>
      <c r="I20" s="1647"/>
      <c r="J20" s="1647"/>
      <c r="K20" s="1647"/>
      <c r="L20" s="1955"/>
      <c r="M20" s="1981"/>
      <c r="N20" s="1981"/>
      <c r="O20" s="1361" t="s">
        <v>567</v>
      </c>
      <c r="P20" s="1378"/>
      <c r="Q20" s="1387"/>
      <c r="R20" s="1387"/>
      <c r="S20" s="745"/>
      <c r="Z20" s="1383"/>
      <c r="AB20" s="1383"/>
      <c r="AH20" s="1383"/>
      <c r="AJ20" s="1383"/>
      <c r="AN20" s="1652"/>
      <c r="AO20" s="1652"/>
      <c r="AP20" s="1652"/>
      <c r="AQ20" s="1652"/>
      <c r="AR20" s="1652"/>
      <c r="AS20" s="1382">
        <v>0</v>
      </c>
    </row>
    <row s="1382" customFormat="1" customHeight="1" ht="14.25" hidden="1">
      <c r="A21" s="1647"/>
      <c r="B21" s="1647"/>
      <c r="C21" s="1647"/>
      <c r="D21" s="1647"/>
      <c r="E21" s="1647"/>
      <c r="F21" s="1647"/>
      <c r="G21" s="1647"/>
      <c r="H21" s="1647"/>
      <c r="I21" s="1647"/>
      <c r="J21" s="1647"/>
      <c r="K21" s="1647"/>
      <c r="L21" s="1955"/>
      <c r="M21" s="1981"/>
      <c r="N21" s="1981"/>
      <c r="O21" s="1981"/>
      <c r="P21" s="1378"/>
      <c r="Q21" s="1387"/>
      <c r="R21" s="1387"/>
      <c r="S21" s="745"/>
      <c r="AN21" s="1652"/>
      <c r="AO21" s="1652"/>
      <c r="AP21" s="1652"/>
      <c r="AQ21" s="1652"/>
      <c r="AR21" s="1652"/>
      <c r="AS21" s="1382">
        <v>0</v>
      </c>
    </row>
    <row s="1382" customFormat="1" customHeight="1" ht="14.25" hidden="1">
      <c r="A22" s="1647"/>
      <c r="B22" s="1647"/>
      <c r="C22" s="1647"/>
      <c r="D22" s="1647"/>
      <c r="E22" s="1647"/>
      <c r="F22" s="1647"/>
      <c r="G22" s="1647"/>
      <c r="H22" s="1647"/>
      <c r="I22" s="1647"/>
      <c r="J22" s="1647"/>
      <c r="K22" s="1647"/>
      <c r="L22" s="1955"/>
      <c r="M22" s="1981"/>
      <c r="N22" s="1981"/>
      <c r="O22" s="1326" t="s">
        <v>568</v>
      </c>
      <c r="P22" s="1378"/>
      <c r="Q22" s="1387"/>
      <c r="R22" s="1387"/>
      <c r="S22" s="745"/>
      <c r="T22" s="1382" t="s">
        <v>569</v>
      </c>
      <c r="AA22" s="611" t="s">
        <v>570</v>
      </c>
      <c r="AC22" s="611" t="s">
        <v>571</v>
      </c>
      <c r="AD22" s="1382" t="s">
        <v>569</v>
      </c>
      <c r="AI22" s="611" t="s">
        <v>572</v>
      </c>
      <c r="AK22" s="611" t="s">
        <v>571</v>
      </c>
      <c r="AN22" s="1652"/>
      <c r="AO22" s="1652"/>
      <c r="AP22" s="1652"/>
      <c r="AQ22" s="1652"/>
      <c r="AR22" s="1652"/>
      <c r="AS22" s="1382">
        <v>0</v>
      </c>
    </row>
    <row customHeight="1" ht="14.25" hidden="1">
      <c r="O23" s="1326"/>
      <c r="AS23" s="1647">
        <v>0</v>
      </c>
    </row>
    <row customHeight="1" ht="14.25" hidden="1">
      <c r="O24" s="1326"/>
      <c r="AS24" s="1647">
        <v>0</v>
      </c>
    </row>
    <row customHeight="1" ht="14.699999999999998">
      <c r="Q25" s="392"/>
      <c r="R25" s="392"/>
      <c r="S25" s="1291"/>
      <c r="T25" s="473"/>
      <c r="U25" s="473"/>
      <c r="V25" s="1651"/>
      <c r="W25" s="1651"/>
      <c r="X25" s="1651"/>
      <c r="Y25" s="1651"/>
      <c r="Z25" s="1651"/>
      <c r="AA25" s="1651"/>
      <c r="AB25" s="1651"/>
      <c r="AC25" s="1651"/>
      <c r="AD25" s="1651"/>
      <c r="AE25" s="1651"/>
      <c r="AF25" s="1651"/>
      <c r="AG25" s="1651"/>
      <c r="AH25" s="1651"/>
      <c r="AI25" s="1651"/>
      <c r="AJ25" s="1651"/>
      <c r="AK25" s="1651"/>
      <c r="AS25" s="1647">
        <v>14</v>
      </c>
    </row>
    <row customHeight="1" ht="14.699999999999998">
      <c r="Q26" s="392"/>
      <c r="R26" s="392"/>
      <c r="S26" s="2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4"/>
      <c r="U26" s="2264"/>
      <c r="V26" s="2264"/>
      <c r="W26" s="2264"/>
      <c r="X26" s="2264"/>
      <c r="Y26" s="2264"/>
      <c r="Z26" s="2264"/>
      <c r="AA26" s="2264"/>
      <c r="AB26" s="2264"/>
      <c r="AC26" s="2264"/>
      <c r="AD26" s="2264"/>
      <c r="AE26" s="2264"/>
      <c r="AF26" s="2264"/>
      <c r="AG26" s="2264"/>
      <c r="AH26" s="2264"/>
      <c r="AI26" s="2264"/>
      <c r="AJ26" s="2264"/>
      <c r="AK26" s="1259"/>
      <c r="AS26" s="1647">
        <v>14</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647">
        <v>14</v>
      </c>
    </row>
    <row customHeight="1" ht="14.25" hidden="1">
      <c r="Q28" s="392"/>
      <c r="R28" s="392"/>
      <c r="S28" s="1291"/>
      <c r="T28" s="473"/>
      <c r="U28" s="473"/>
      <c r="V28" s="338"/>
      <c r="W28" s="338"/>
      <c r="X28" s="338"/>
      <c r="Y28" s="338"/>
      <c r="Z28" s="338"/>
      <c r="AA28" s="338"/>
      <c r="AB28" s="338"/>
      <c r="AC28" s="338"/>
      <c r="AD28" s="338"/>
      <c r="AE28" s="338"/>
      <c r="AF28" s="338"/>
      <c r="AG28" s="338"/>
      <c r="AH28" s="338"/>
      <c r="AI28" s="338"/>
      <c r="AJ28" s="338"/>
      <c r="AK28" s="338"/>
      <c r="AL28" s="1651"/>
      <c r="AS28" s="1647">
        <v>0</v>
      </c>
    </row>
    <row s="1869" customFormat="1" customHeight="1" ht="25.5" hidden="1">
      <c r="A29" s="1264"/>
      <c r="B29" s="1264"/>
      <c r="C29" s="1264"/>
      <c r="D29" s="1264"/>
      <c r="E29" s="1264"/>
      <c r="F29" s="1264"/>
      <c r="G29" s="1264"/>
      <c r="H29" s="1264"/>
      <c r="I29" s="1264"/>
      <c r="J29" s="1264"/>
      <c r="K29" s="1264"/>
      <c r="L29" s="1396"/>
      <c r="M29" s="1264"/>
      <c r="N29" s="1264"/>
      <c r="O29" s="126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1651"/>
      <c r="AD29" s="2267" t="str">
        <f>IF(TITLE_NAME_OR_PR_CHANGE="",IF(TITLE_NAME_OR_PR="","",TITLE_NAME_OR_PR),TITLE_NAME_OR_PR_CHANGE)</f>
        <v>Агентство по тарифам Приморского края</v>
      </c>
      <c r="AE29" s="2267"/>
      <c r="AF29" s="2267"/>
      <c r="AG29" s="2267"/>
      <c r="AH29" s="2267"/>
      <c r="AI29" s="2267"/>
      <c r="AJ29" s="2267"/>
      <c r="AK29" s="1651"/>
      <c r="AL29" s="1651"/>
      <c r="AM29" s="296"/>
      <c r="AN29" s="384"/>
      <c r="AO29" s="384"/>
      <c r="AP29" s="384"/>
      <c r="AQ29" s="384"/>
      <c r="AR29" s="384"/>
      <c r="AS29" s="434">
        <v>0</v>
      </c>
    </row>
    <row s="1869" customFormat="1" customHeight="1" ht="18.75" hidden="1">
      <c r="A30" s="1264"/>
      <c r="B30" s="1264"/>
      <c r="C30" s="1264"/>
      <c r="D30" s="1264"/>
      <c r="E30" s="1264"/>
      <c r="F30" s="1264"/>
      <c r="G30" s="1264"/>
      <c r="H30" s="1264"/>
      <c r="I30" s="1264"/>
      <c r="J30" s="1264"/>
      <c r="K30" s="1264"/>
      <c r="L30" s="1396"/>
      <c r="M30" s="1264"/>
      <c r="N30" s="1264"/>
      <c r="O30" s="1264"/>
      <c r="S30" s="2266" t="s">
        <v>573</v>
      </c>
      <c r="T30" s="2266"/>
      <c r="U30" s="1388"/>
      <c r="V30" s="2280" t="str">
        <f>IF(TITLE_DATE_PR_CHANGE="",IF(TITLE_DATE_PR="","",TITLE_DATE_PR),TITLE_DATE_PR_CHANGE)</f>
        <v>45910</v>
      </c>
      <c r="W30" s="2280"/>
      <c r="X30" s="2280"/>
      <c r="Y30" s="2280"/>
      <c r="Z30" s="2280"/>
      <c r="AA30" s="2280"/>
      <c r="AB30" s="2280"/>
      <c r="AC30" s="1651"/>
      <c r="AD30" s="2280" t="str">
        <f>IF(TITLE_DATE_PR_CHANGE="",IF(TITLE_DATE_PR="","",TITLE_DATE_PR),TITLE_DATE_PR_CHANGE)</f>
        <v>45910</v>
      </c>
      <c r="AE30" s="2280"/>
      <c r="AF30" s="2280"/>
      <c r="AG30" s="2280"/>
      <c r="AH30" s="2280"/>
      <c r="AI30" s="2280"/>
      <c r="AJ30" s="2280"/>
      <c r="AK30" s="1651"/>
      <c r="AL30" s="1651"/>
      <c r="AM30" s="296"/>
      <c r="AN30" s="384"/>
      <c r="AO30" s="384"/>
      <c r="AP30" s="384"/>
      <c r="AQ30" s="384"/>
      <c r="AR30" s="384"/>
      <c r="AS30" s="434">
        <v>0</v>
      </c>
    </row>
    <row s="1869" customFormat="1" customHeight="1" ht="18.75" hidden="1">
      <c r="A31" s="1264"/>
      <c r="B31" s="1264"/>
      <c r="C31" s="1264"/>
      <c r="D31" s="1264"/>
      <c r="E31" s="1264"/>
      <c r="F31" s="1264"/>
      <c r="G31" s="1264"/>
      <c r="H31" s="1264"/>
      <c r="I31" s="1264"/>
      <c r="J31" s="1264"/>
      <c r="K31" s="1264"/>
      <c r="L31" s="1396"/>
      <c r="M31" s="1264"/>
      <c r="N31" s="1264"/>
      <c r="O31" s="1264"/>
      <c r="S31" s="2266" t="s">
        <v>574</v>
      </c>
      <c r="T31" s="2266"/>
      <c r="U31" s="1388"/>
      <c r="V31" s="2267" t="str">
        <f>IF(TITLE_NUMBER_PR_CHANGE="",IF(TITLE_NUMBER_PR="","",TITLE_NUMBER_PR),TITLE_NUMBER_PR_CHANGE)</f>
        <v>37/2</v>
      </c>
      <c r="W31" s="2267"/>
      <c r="X31" s="2267"/>
      <c r="Y31" s="2267"/>
      <c r="Z31" s="2267"/>
      <c r="AA31" s="2267"/>
      <c r="AB31" s="2267"/>
      <c r="AC31" s="1651"/>
      <c r="AD31" s="2267" t="str">
        <f>IF(TITLE_NUMBER_PR_CHANGE="",IF(TITLE_NUMBER_PR="","",TITLE_NUMBER_PR),TITLE_NUMBER_PR_CHANGE)</f>
        <v>37/2</v>
      </c>
      <c r="AE31" s="2267"/>
      <c r="AF31" s="2267"/>
      <c r="AG31" s="2267"/>
      <c r="AH31" s="2267"/>
      <c r="AI31" s="2267"/>
      <c r="AJ31" s="2267"/>
      <c r="AK31" s="1651"/>
      <c r="AL31" s="1651"/>
      <c r="AM31" s="296"/>
      <c r="AN31" s="384"/>
      <c r="AO31" s="384"/>
      <c r="AP31" s="384"/>
      <c r="AQ31" s="384"/>
      <c r="AR31" s="384"/>
      <c r="AS31" s="434">
        <v>0</v>
      </c>
    </row>
    <row s="1869" customFormat="1" customHeight="1" ht="18.75" hidden="1">
      <c r="A32" s="1264"/>
      <c r="B32" s="1264"/>
      <c r="C32" s="1264"/>
      <c r="D32" s="1264"/>
      <c r="E32" s="1264"/>
      <c r="F32" s="1264"/>
      <c r="G32" s="1264"/>
      <c r="H32" s="1264"/>
      <c r="I32" s="1264"/>
      <c r="J32" s="1264"/>
      <c r="K32" s="1264"/>
      <c r="L32" s="1396"/>
      <c r="M32" s="1264"/>
      <c r="N32" s="1264"/>
      <c r="O32" s="1264"/>
      <c r="S32" s="2266" t="s">
        <v>44</v>
      </c>
      <c r="T32" s="2266"/>
      <c r="U32" s="1388"/>
      <c r="V32" s="2267" t="str">
        <f>IF(TITLE_IST_PUB_CHANGE="",IF(TITLE_IST_PUB="","",TITLE_IST_PUB),TITLE_IST_PUB_CHANGE)</f>
        <v>http://pravo.gov.ru</v>
      </c>
      <c r="W32" s="2267"/>
      <c r="X32" s="2267"/>
      <c r="Y32" s="2267"/>
      <c r="Z32" s="2267"/>
      <c r="AA32" s="2267"/>
      <c r="AB32" s="2267"/>
      <c r="AC32" s="1651"/>
      <c r="AD32" s="2267" t="str">
        <f>IF(TITLE_IST_PUB_CHANGE="",IF(TITLE_IST_PUB="","",TITLE_IST_PUB),TITLE_IST_PUB_CHANGE)</f>
        <v>http://pravo.gov.ru</v>
      </c>
      <c r="AE32" s="2267"/>
      <c r="AF32" s="2267"/>
      <c r="AG32" s="2267"/>
      <c r="AH32" s="2267"/>
      <c r="AI32" s="2267"/>
      <c r="AJ32" s="2267"/>
      <c r="AK32" s="1651"/>
      <c r="AL32" s="1651"/>
      <c r="AM32" s="296"/>
      <c r="AN32" s="384"/>
      <c r="AO32" s="384"/>
      <c r="AP32" s="384"/>
      <c r="AQ32" s="384"/>
      <c r="AR32" s="384"/>
      <c r="AS32" s="434">
        <v>0</v>
      </c>
    </row>
    <row customHeight="1" ht="14.25" hidden="1">
      <c r="Q33" s="392"/>
      <c r="R33" s="392"/>
      <c r="S33" s="1291"/>
      <c r="T33" s="473"/>
      <c r="U33" s="473"/>
      <c r="V33" s="338"/>
      <c r="W33" s="338"/>
      <c r="X33" s="338"/>
      <c r="Y33" s="338"/>
      <c r="Z33" s="338"/>
      <c r="AA33" s="338"/>
      <c r="AB33" s="338"/>
      <c r="AC33" s="338"/>
      <c r="AD33" s="338"/>
      <c r="AE33" s="338"/>
      <c r="AF33" s="338"/>
      <c r="AG33" s="338"/>
      <c r="AH33" s="338"/>
      <c r="AI33" s="338"/>
      <c r="AJ33" s="338"/>
      <c r="AK33" s="338"/>
      <c r="AL33" s="1651"/>
      <c r="AS33" s="1647">
        <v>0</v>
      </c>
    </row>
    <row s="1869" customFormat="1" customHeight="1" ht="18.75" hidden="1">
      <c r="A34" s="1264"/>
      <c r="B34" s="1264"/>
      <c r="C34" s="1264"/>
      <c r="D34" s="1264"/>
      <c r="E34" s="1264"/>
      <c r="F34" s="1264"/>
      <c r="G34" s="1264"/>
      <c r="H34" s="1264"/>
      <c r="I34" s="1264"/>
      <c r="J34" s="1264"/>
      <c r="K34" s="1264"/>
      <c r="L34" s="1396"/>
      <c r="M34" s="1264"/>
      <c r="N34" s="1264"/>
      <c r="O34" s="1264"/>
      <c r="S34" s="2266" t="s">
        <v>575</v>
      </c>
      <c r="T34" s="2266"/>
      <c r="U34" s="1388"/>
      <c r="V34" s="2280" t="str">
        <f>IF(TITLE_DATE_PR_CHANGE="",IF(TITLE_DATE_PR="","",TITLE_DATE_PR),TITLE_DATE_PR_CHANGE)</f>
        <v>45910</v>
      </c>
      <c r="W34" s="2280"/>
      <c r="X34" s="2280"/>
      <c r="Y34" s="2280"/>
      <c r="Z34" s="2280"/>
      <c r="AA34" s="2280"/>
      <c r="AB34" s="2280"/>
      <c r="AC34" s="1651"/>
      <c r="AD34" s="2280" t="str">
        <f>IF(TITLE_DATE_PR_CHANGE="",IF(TITLE_DATE_PR="","",TITLE_DATE_PR),TITLE_DATE_PR_CHANGE)</f>
        <v>45910</v>
      </c>
      <c r="AE34" s="2280"/>
      <c r="AF34" s="2280"/>
      <c r="AG34" s="2280"/>
      <c r="AH34" s="2280"/>
      <c r="AI34" s="2280"/>
      <c r="AJ34" s="2280"/>
      <c r="AK34" s="1651"/>
      <c r="AL34" s="1651"/>
      <c r="AM34" s="296"/>
      <c r="AN34" s="384"/>
      <c r="AO34" s="384"/>
      <c r="AP34" s="384"/>
      <c r="AQ34" s="384"/>
      <c r="AR34" s="384"/>
      <c r="AS34" s="434">
        <v>0</v>
      </c>
    </row>
    <row s="1869" customFormat="1" customHeight="1" ht="18.75" hidden="1">
      <c r="A35" s="1264"/>
      <c r="B35" s="1264"/>
      <c r="C35" s="1264"/>
      <c r="D35" s="1264"/>
      <c r="E35" s="1264"/>
      <c r="F35" s="1264"/>
      <c r="G35" s="1264"/>
      <c r="H35" s="1264"/>
      <c r="I35" s="1264"/>
      <c r="J35" s="1264"/>
      <c r="K35" s="1264"/>
      <c r="L35" s="1396"/>
      <c r="M35" s="1264"/>
      <c r="N35" s="1264"/>
      <c r="O35" s="1264"/>
      <c r="S35" s="2266" t="s">
        <v>576</v>
      </c>
      <c r="T35" s="2266"/>
      <c r="U35" s="1388"/>
      <c r="V35" s="2267" t="str">
        <f>IF(TITLE_NUMBER_PR_CHANGE="",IF(TITLE_NUMBER_PR="","",TITLE_NUMBER_PR),TITLE_NUMBER_PR_CHANGE)</f>
        <v>37/2</v>
      </c>
      <c r="W35" s="2267"/>
      <c r="X35" s="2267"/>
      <c r="Y35" s="2267"/>
      <c r="Z35" s="2267"/>
      <c r="AA35" s="2267"/>
      <c r="AB35" s="2267"/>
      <c r="AC35" s="1651"/>
      <c r="AD35" s="2267" t="str">
        <f>IF(TITLE_NUMBER_PR_CHANGE="",IF(TITLE_NUMBER_PR="","",TITLE_NUMBER_PR),TITLE_NUMBER_PR_CHANGE)</f>
        <v>37/2</v>
      </c>
      <c r="AE35" s="2267"/>
      <c r="AF35" s="2267"/>
      <c r="AG35" s="2267"/>
      <c r="AH35" s="2267"/>
      <c r="AI35" s="2267"/>
      <c r="AJ35" s="2267"/>
      <c r="AK35" s="1651"/>
      <c r="AL35" s="1651"/>
      <c r="AM35" s="296"/>
      <c r="AN35" s="384"/>
      <c r="AO35" s="384"/>
      <c r="AP35" s="384"/>
      <c r="AQ35" s="384"/>
      <c r="AR35" s="384"/>
      <c r="AS35" s="434">
        <v>0</v>
      </c>
    </row>
    <row s="1869" customFormat="1" customHeight="1" ht="0">
      <c r="A36" s="1264"/>
      <c r="B36" s="1264"/>
      <c r="C36" s="1264"/>
      <c r="D36" s="1264"/>
      <c r="E36" s="1264"/>
      <c r="F36" s="1264"/>
      <c r="G36" s="1264"/>
      <c r="H36" s="1264"/>
      <c r="I36" s="1264"/>
      <c r="J36" s="1264"/>
      <c r="K36" s="1264"/>
      <c r="L36" s="1396"/>
      <c r="M36" s="1264"/>
      <c r="N36" s="1264"/>
      <c r="O36" s="1264"/>
      <c r="S36" s="1651"/>
      <c r="T36" s="1651"/>
      <c r="U36" s="1986"/>
      <c r="V36" s="1651"/>
      <c r="W36" s="1651"/>
      <c r="X36" s="1651"/>
      <c r="Y36" s="1651"/>
      <c r="Z36" s="1651"/>
      <c r="AA36" s="1651"/>
      <c r="AB36" s="1651"/>
      <c r="AC36" s="1658" t="s">
        <v>577</v>
      </c>
      <c r="AD36" s="1651"/>
      <c r="AE36" s="1651"/>
      <c r="AF36" s="1651"/>
      <c r="AG36" s="1651"/>
      <c r="AH36" s="1651"/>
      <c r="AI36" s="1651"/>
      <c r="AJ36" s="1651"/>
      <c r="AK36" s="1658" t="s">
        <v>577</v>
      </c>
      <c r="AN36" s="384"/>
      <c r="AO36" s="384"/>
      <c r="AP36" s="384"/>
      <c r="AQ36" s="384"/>
      <c r="AR36" s="384"/>
      <c r="AS36" s="434">
        <v>0</v>
      </c>
    </row>
    <row customHeight="1" ht="14.699999999999998">
      <c r="Q37" s="392"/>
      <c r="R37" s="392"/>
      <c r="S37" s="1291"/>
      <c r="T37" s="473"/>
      <c r="U37" s="1260"/>
      <c r="V37" s="2268"/>
      <c r="W37" s="2268"/>
      <c r="X37" s="2268"/>
      <c r="Y37" s="2268"/>
      <c r="Z37" s="2268"/>
      <c r="AA37" s="2268"/>
      <c r="AB37" s="2268"/>
      <c r="AC37" s="2268"/>
      <c r="AD37" s="2268"/>
      <c r="AE37" s="2268"/>
      <c r="AF37" s="2268"/>
      <c r="AG37" s="2268"/>
      <c r="AH37" s="2268"/>
      <c r="AI37" s="2268"/>
      <c r="AJ37" s="2268"/>
      <c r="AK37" s="2268"/>
      <c r="AS37" s="1647">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647">
        <v>14</v>
      </c>
    </row>
    <row customHeight="1" ht="14.699999999999998">
      <c r="Q39" s="392"/>
      <c r="R39" s="392"/>
      <c r="S39" s="2289" t="s">
        <v>91</v>
      </c>
      <c r="T39" s="2225" t="s">
        <v>578</v>
      </c>
      <c r="U39" s="353"/>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647">
        <v>14</v>
      </c>
    </row>
    <row customHeight="1" ht="35.699999999999996">
      <c r="Q40" s="392"/>
      <c r="R40" s="392"/>
      <c r="S40" s="2289"/>
      <c r="T40" s="2225"/>
      <c r="U40" s="1047"/>
      <c r="V40" s="2276" t="s">
        <v>583</v>
      </c>
      <c r="W40" s="2299" t="s">
        <v>584</v>
      </c>
      <c r="X40" s="2278" t="s">
        <v>585</v>
      </c>
      <c r="Y40" s="2279"/>
      <c r="Z40" s="2278" t="s">
        <v>598</v>
      </c>
      <c r="AA40" s="2285"/>
      <c r="AB40" s="2279"/>
      <c r="AC40" s="2294"/>
      <c r="AD40" s="2276" t="s">
        <v>583</v>
      </c>
      <c r="AE40" s="2299" t="s">
        <v>584</v>
      </c>
      <c r="AF40" s="2278" t="s">
        <v>585</v>
      </c>
      <c r="AG40" s="2279"/>
      <c r="AH40" s="2278" t="s">
        <v>586</v>
      </c>
      <c r="AI40" s="2285"/>
      <c r="AJ40" s="2279"/>
      <c r="AK40" s="2294"/>
      <c r="AL40" s="2297"/>
      <c r="AM40" s="2143"/>
      <c r="AS40" s="1647">
        <v>34</v>
      </c>
    </row>
    <row customHeight="1" ht="35.699999999999996">
      <c r="A41" s="1282"/>
      <c r="B41" s="1282" t="s">
        <v>204</v>
      </c>
      <c r="C41" s="1282" t="s">
        <v>205</v>
      </c>
      <c r="D41" s="1282" t="s">
        <v>206</v>
      </c>
      <c r="E41" s="1326" t="s">
        <v>587</v>
      </c>
      <c r="F41" s="1326" t="s">
        <v>588</v>
      </c>
      <c r="G41" s="1326" t="s">
        <v>589</v>
      </c>
      <c r="H41" s="1326" t="s">
        <v>590</v>
      </c>
      <c r="I41" s="1326" t="s">
        <v>591</v>
      </c>
      <c r="J41" s="1326" t="s">
        <v>592</v>
      </c>
      <c r="K41" s="1326" t="s">
        <v>593</v>
      </c>
      <c r="L41" s="1326" t="s">
        <v>568</v>
      </c>
      <c r="Q41" s="392"/>
      <c r="R41" s="392"/>
      <c r="S41" s="2289"/>
      <c r="T41" s="2225"/>
      <c r="U41" s="318"/>
      <c r="V41" s="2277"/>
      <c r="W41" s="2300"/>
      <c r="X41" s="1954" t="s">
        <v>594</v>
      </c>
      <c r="Y41" s="1954" t="s">
        <v>595</v>
      </c>
      <c r="Z41" s="1954" t="s">
        <v>596</v>
      </c>
      <c r="AA41" s="2286" t="s">
        <v>597</v>
      </c>
      <c r="AB41" s="2287"/>
      <c r="AC41" s="2295"/>
      <c r="AD41" s="2277"/>
      <c r="AE41" s="2300"/>
      <c r="AF41" s="1954" t="s">
        <v>594</v>
      </c>
      <c r="AG41" s="1954" t="s">
        <v>595</v>
      </c>
      <c r="AH41" s="1954" t="s">
        <v>596</v>
      </c>
      <c r="AI41" s="2286" t="s">
        <v>597</v>
      </c>
      <c r="AJ41" s="2287"/>
      <c r="AK41" s="2295"/>
      <c r="AL41" s="2298"/>
      <c r="AM41" s="2143"/>
      <c r="AS41" s="1647">
        <v>34</v>
      </c>
    </row>
    <row s="1657" customFormat="1" customHeight="1" ht="11.25" hidden="1">
      <c r="A42" s="1282"/>
      <c r="B42" s="1282"/>
      <c r="C42" s="1282"/>
      <c r="D42" s="1282"/>
      <c r="E42" s="1282"/>
      <c r="F42" s="1282"/>
      <c r="G42" s="1282"/>
      <c r="H42" s="1282"/>
      <c r="I42" s="1282"/>
      <c r="J42" s="1282"/>
      <c r="K42" s="1282"/>
      <c r="L42" s="1326"/>
      <c r="M42" s="1981"/>
      <c r="N42" s="1981"/>
      <c r="O42" s="1981"/>
      <c r="P42" s="1262"/>
      <c r="Q42" s="1263"/>
      <c r="R42" s="1270">
        <v>1</v>
      </c>
      <c r="S42" s="1293" t="s">
        <v>141</v>
      </c>
      <c r="T42" s="1271" t="s">
        <v>107</v>
      </c>
      <c r="U42" s="1261" t="str">
        <f>OFFSET(U42,0,-1)</f>
        <v>2</v>
      </c>
      <c r="V42" s="1972">
        <f>OFFSET(V42,0,-1)+1</f>
        <v>3</v>
      </c>
      <c r="W42" s="1972"/>
      <c r="X42" s="1972">
        <f>OFFSET(X42,0,-1)+1</f>
        <v>1</v>
      </c>
      <c r="Y42" s="1972">
        <f>OFFSET(Y42,0,-1)+1</f>
        <v>2</v>
      </c>
      <c r="Z42" s="1972">
        <f>OFFSET(Z42,0,-1)+1</f>
        <v>3</v>
      </c>
      <c r="AA42" s="2288">
        <f>OFFSET(AA42,0,-1)+1</f>
        <v>4</v>
      </c>
      <c r="AB42" s="2288"/>
      <c r="AC42" s="1972">
        <f>OFFSET(AC42,0,-2)+1</f>
        <v>5</v>
      </c>
      <c r="AD42" s="1972">
        <f>OFFSET(AD42,0,-1)+1</f>
        <v>6</v>
      </c>
      <c r="AE42" s="1972"/>
      <c r="AF42" s="1972">
        <f>OFFSET(AF42,0,-1)+1</f>
        <v>1</v>
      </c>
      <c r="AG42" s="1972">
        <f>OFFSET(AG42,0,-1)+1</f>
        <v>2</v>
      </c>
      <c r="AH42" s="1972">
        <f>OFFSET(AH42,0,-1)+1</f>
        <v>3</v>
      </c>
      <c r="AI42" s="2288">
        <f>OFFSET(AI42,0,-1)+1</f>
        <v>4</v>
      </c>
      <c r="AJ42" s="2288"/>
      <c r="AK42" s="1972">
        <f>OFFSET(AK42,0,-2)+1</f>
        <v>5</v>
      </c>
      <c r="AL42" s="1261">
        <f>OFFSET(AL42,0,-1)</f>
        <v>5</v>
      </c>
      <c r="AM42" s="1972">
        <f>OFFSET(AM42,0,-1)+1</f>
        <v>6</v>
      </c>
      <c r="AN42" s="1652"/>
      <c r="AO42" s="1652"/>
      <c r="AP42" s="1652"/>
      <c r="AQ42" s="1652"/>
      <c r="AR42" s="1652"/>
      <c r="AS42" s="1657">
        <v>0</v>
      </c>
    </row>
    <row customHeight="1" ht="22.049999999999997">
      <c r="A43" s="1283" t="s">
        <v>365</v>
      </c>
      <c r="B43" s="1283"/>
      <c r="C43" s="1283"/>
      <c r="D43" s="1283"/>
      <c r="E43" s="2305">
        <v>1</v>
      </c>
      <c r="F43" s="1283"/>
      <c r="G43" s="1283"/>
      <c r="H43" s="1283"/>
      <c r="I43" s="1283"/>
      <c r="J43" s="1283"/>
      <c r="K43" s="1283"/>
      <c r="L43" s="1326"/>
      <c r="M43" s="1626"/>
      <c r="N43" s="1626"/>
      <c r="O43" s="1626"/>
      <c r="P43" s="1606"/>
      <c r="Q43" s="376"/>
      <c r="R43" s="371"/>
      <c r="S43" s="1974">
        <f>INDEX(PT_DIFFERENTIATION_NUM_NTAR,MATCH(A43,PT_DIFFERENTIATION_NTAR_ID,0))</f>
        <v>0</v>
      </c>
      <c r="T43" s="1541"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40"/>
      <c r="AP43" s="1640" t="str">
        <f>IF(T43="","",T43)</f>
        <v>Наименование тарифа</v>
      </c>
      <c r="AQ43" s="1640"/>
      <c r="AR43" s="1640"/>
      <c r="AS43" s="1647">
        <v>21</v>
      </c>
    </row>
    <row customHeight="1" ht="22.049999999999997">
      <c r="A44" s="1283" t="s">
        <v>365</v>
      </c>
      <c r="B44" s="1283" t="s">
        <v>366</v>
      </c>
      <c r="C44" s="1283"/>
      <c r="D44" s="1283"/>
      <c r="E44" s="2306"/>
      <c r="F44" s="2305">
        <v>1</v>
      </c>
      <c r="G44" s="1283"/>
      <c r="H44" s="1283"/>
      <c r="I44" s="1283"/>
      <c r="J44" s="1283"/>
      <c r="K44" s="1283"/>
      <c r="L44" s="1326"/>
      <c r="M44" s="1626"/>
      <c r="N44" s="1626"/>
      <c r="O44" s="1626"/>
      <c r="P44" s="1956"/>
      <c r="Q44" s="368"/>
      <c r="R44" s="369"/>
      <c r="S44" s="1974" t="str">
        <f>INDEX(PT_DIFFERENTIATION_NUM_TER,MATCH(B44,PT_DIFFERENTIATION_TER_ID,0))</f>
        <v>.</v>
      </c>
      <c r="T44" s="1538"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1640"/>
      <c r="AP44" s="1640" t="str">
        <f>IF(T44="","",T44)</f>
        <v>Территория действия тарифа</v>
      </c>
      <c r="AQ44" s="1640"/>
      <c r="AR44" s="1640"/>
      <c r="AS44" s="1647">
        <v>21</v>
      </c>
    </row>
    <row customHeight="1" ht="24">
      <c r="A45" s="1283" t="s">
        <v>365</v>
      </c>
      <c r="B45" s="1283" t="s">
        <v>366</v>
      </c>
      <c r="C45" s="1283" t="s">
        <v>367</v>
      </c>
      <c r="D45" s="1283"/>
      <c r="E45" s="2306"/>
      <c r="F45" s="2306"/>
      <c r="G45" s="2305">
        <v>1</v>
      </c>
      <c r="H45" s="1283"/>
      <c r="I45" s="1283"/>
      <c r="J45" s="1283"/>
      <c r="K45" s="1283"/>
      <c r="L45" s="1326"/>
      <c r="M45" s="1626"/>
      <c r="N45" s="1626"/>
      <c r="O45" s="1626"/>
      <c r="P45" s="370"/>
      <c r="Q45" s="368"/>
      <c r="R45" s="369"/>
      <c r="S45" s="1974"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1640"/>
      <c r="AP45" s="1640" t="str">
        <f>IF(T45="","",T45)</f>
        <v>Наименование системы теплоснабжения </v>
      </c>
      <c r="AQ45" s="1640"/>
      <c r="AR45" s="1640"/>
      <c r="AS45" s="1647">
        <v>23</v>
      </c>
    </row>
    <row customHeight="1" ht="22.049999999999997">
      <c r="A46" s="1283" t="s">
        <v>365</v>
      </c>
      <c r="B46" s="1283" t="s">
        <v>366</v>
      </c>
      <c r="C46" s="1283" t="s">
        <v>367</v>
      </c>
      <c r="D46" s="1283" t="s">
        <v>368</v>
      </c>
      <c r="E46" s="2306"/>
      <c r="F46" s="2306"/>
      <c r="G46" s="2306"/>
      <c r="H46" s="2305">
        <v>1</v>
      </c>
      <c r="I46" s="1283"/>
      <c r="J46" s="1283"/>
      <c r="K46" s="1283"/>
      <c r="L46" s="1326"/>
      <c r="M46" s="1626"/>
      <c r="N46" s="1626"/>
      <c r="O46" s="1626"/>
      <c r="P46" s="370"/>
      <c r="Q46" s="368"/>
      <c r="R46" s="369"/>
      <c r="S46" s="1974"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1640"/>
      <c r="AP46" s="1640" t="str">
        <f>IF(T46="","",T46)</f>
        <v>Источник тепловой энергии  </v>
      </c>
      <c r="AQ46" s="1640"/>
      <c r="AR46" s="1640"/>
      <c r="AS46" s="1647">
        <v>21</v>
      </c>
    </row>
    <row customHeight="1" ht="49.5">
      <c r="A47" s="1283" t="s">
        <v>365</v>
      </c>
      <c r="B47" s="1283" t="s">
        <v>366</v>
      </c>
      <c r="C47" s="1283" t="s">
        <v>367</v>
      </c>
      <c r="D47" s="1283" t="s">
        <v>368</v>
      </c>
      <c r="E47" s="2306"/>
      <c r="F47" s="2306"/>
      <c r="G47" s="2306"/>
      <c r="H47" s="2306"/>
      <c r="I47" s="2143" t="str">
        <f>S46&amp;".1"</f>
        <v>....1</v>
      </c>
      <c r="J47" s="1283"/>
      <c r="K47" s="1283"/>
      <c r="L47" s="1326" t="s">
        <v>556</v>
      </c>
      <c r="P47" s="2273">
        <v>1</v>
      </c>
      <c r="Q47" s="1970"/>
      <c r="R47" s="372"/>
      <c r="S47" s="1974" t="str">
        <f>$I47</f>
        <v>....1</v>
      </c>
      <c r="T47" s="301" t="s">
        <v>557</v>
      </c>
      <c r="U47" s="316"/>
      <c r="V47" s="2261"/>
      <c r="W47" s="2262"/>
      <c r="X47" s="2262"/>
      <c r="Y47" s="2262"/>
      <c r="Z47" s="2262"/>
      <c r="AA47" s="2262"/>
      <c r="AB47" s="2262"/>
      <c r="AC47" s="2263"/>
      <c r="AD47" s="2261"/>
      <c r="AE47" s="2262"/>
      <c r="AF47" s="2262"/>
      <c r="AG47" s="2262"/>
      <c r="AH47" s="2262"/>
      <c r="AI47" s="2262"/>
      <c r="AJ47" s="2262"/>
      <c r="AK47" s="2262"/>
      <c r="AL47" s="2263"/>
      <c r="AM47" s="1274" t="s">
        <v>558</v>
      </c>
      <c r="AO47" s="1640"/>
      <c r="AP47" s="1640" t="str">
        <f>IF(T47="","",T47)</f>
        <v>Схема подключения теплопотребляющей установки к коллектору источника тепловой энергии</v>
      </c>
      <c r="AQ47" s="1640"/>
      <c r="AR47" s="1640"/>
      <c r="AS47" s="1647">
        <v>47</v>
      </c>
    </row>
    <row customHeight="1" ht="22.049999999999997">
      <c r="A48" s="1283" t="s">
        <v>365</v>
      </c>
      <c r="B48" s="1283" t="s">
        <v>366</v>
      </c>
      <c r="C48" s="1283" t="s">
        <v>367</v>
      </c>
      <c r="D48" s="1283" t="s">
        <v>368</v>
      </c>
      <c r="E48" s="2306"/>
      <c r="F48" s="2306"/>
      <c r="G48" s="2306"/>
      <c r="H48" s="2306"/>
      <c r="I48" s="2117"/>
      <c r="J48" s="2143" t="str">
        <f>I47&amp;".1"</f>
        <v>....1.1</v>
      </c>
      <c r="K48" s="1283"/>
      <c r="L48" s="1326" t="s">
        <v>559</v>
      </c>
      <c r="P48" s="2273"/>
      <c r="Q48" s="2273">
        <v>1</v>
      </c>
      <c r="R48" s="373"/>
      <c r="S48" s="1974" t="str">
        <f>$J48</f>
        <v>....1.1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1640"/>
      <c r="AP48" s="1640" t="str">
        <f>IF(T48="","",T48)</f>
        <v>Группа потребителей</v>
      </c>
      <c r="AQ48" s="1640"/>
      <c r="AR48" s="1640"/>
      <c r="AS48" s="1647">
        <v>21</v>
      </c>
    </row>
    <row customHeight="1" ht="22.049999999999997">
      <c r="A49" s="1283" t="s">
        <v>365</v>
      </c>
      <c r="B49" s="1283" t="s">
        <v>366</v>
      </c>
      <c r="C49" s="1283" t="s">
        <v>367</v>
      </c>
      <c r="D49" s="1283" t="s">
        <v>368</v>
      </c>
      <c r="E49" s="2306"/>
      <c r="F49" s="2306"/>
      <c r="G49" s="2306"/>
      <c r="H49" s="2306"/>
      <c r="I49" s="2117"/>
      <c r="J49" s="2117"/>
      <c r="K49" s="2143" t="str">
        <f>J48&amp;".1"</f>
        <v>....1.1.1</v>
      </c>
      <c r="L49" s="1326" t="s">
        <v>562</v>
      </c>
      <c r="P49" s="2273"/>
      <c r="Q49" s="2273"/>
      <c r="R49" s="373">
        <v>1</v>
      </c>
      <c r="S49" s="1974" t="str">
        <f>$K49</f>
        <v>....1.1.1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563</v>
      </c>
      <c r="AN49" s="1652">
        <f>STRCHECKDATE(V50:AL50)</f>
      </c>
      <c r="AO49" s="1640"/>
      <c r="AP49" s="1640" t="str">
        <f>IF(T49="","",T49)</f>
        <v/>
      </c>
      <c r="AQ49" s="1640"/>
      <c r="AR49" s="1640"/>
      <c r="AS49" s="1647">
        <v>21</v>
      </c>
    </row>
    <row customHeight="1" ht="1.05">
      <c r="A50" s="1283" t="s">
        <v>365</v>
      </c>
      <c r="B50" s="1283" t="s">
        <v>366</v>
      </c>
      <c r="C50" s="1283" t="s">
        <v>367</v>
      </c>
      <c r="D50" s="1283" t="s">
        <v>368</v>
      </c>
      <c r="E50" s="2306"/>
      <c r="F50" s="2306"/>
      <c r="G50" s="2306"/>
      <c r="H50" s="2306"/>
      <c r="I50" s="2117"/>
      <c r="J50" s="2117"/>
      <c r="K50" s="2143"/>
      <c r="L50" s="1326"/>
      <c r="P50" s="2273"/>
      <c r="Q50" s="2273"/>
      <c r="R50" s="373"/>
      <c r="S50" s="1983"/>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1640"/>
      <c r="AP50" s="1640" t="str">
        <f>IF(T50="","",T50)</f>
        <v/>
      </c>
      <c r="AQ50" s="1640"/>
      <c r="AR50" s="1640"/>
      <c r="AS50" s="1647">
        <v>1</v>
      </c>
    </row>
    <row customHeight="1" ht="11.549999999999999">
      <c r="A51" s="1283" t="s">
        <v>365</v>
      </c>
      <c r="B51" s="1283" t="s">
        <v>366</v>
      </c>
      <c r="C51" s="1283" t="s">
        <v>367</v>
      </c>
      <c r="D51" s="1283" t="s">
        <v>368</v>
      </c>
      <c r="E51" s="2306"/>
      <c r="F51" s="2306"/>
      <c r="G51" s="2306"/>
      <c r="H51" s="2306"/>
      <c r="I51" s="2117"/>
      <c r="J51" s="2143"/>
      <c r="K51" s="1283"/>
      <c r="L51" s="1326"/>
      <c r="P51" s="2273"/>
      <c r="Q51" s="2273"/>
      <c r="R51" s="372"/>
      <c r="S51" s="1294"/>
      <c r="T51" s="304" t="s">
        <v>564</v>
      </c>
      <c r="U51" s="616"/>
      <c r="V51" s="616"/>
      <c r="W51" s="616"/>
      <c r="X51" s="616"/>
      <c r="Y51" s="616"/>
      <c r="Z51" s="616"/>
      <c r="AA51" s="616"/>
      <c r="AB51" s="616"/>
      <c r="AC51" s="616"/>
      <c r="AD51" s="616"/>
      <c r="AE51" s="616"/>
      <c r="AF51" s="616"/>
      <c r="AG51" s="616"/>
      <c r="AH51" s="616"/>
      <c r="AI51" s="616"/>
      <c r="AJ51" s="616"/>
      <c r="AK51" s="616"/>
      <c r="AL51" s="340"/>
      <c r="AM51" s="2271"/>
      <c r="AO51" s="1640"/>
      <c r="AP51" s="1640" t="str">
        <f>IF(T51="","",T51)</f>
        <v>Добавить вид теплоносителя (параметры теплоносителя)</v>
      </c>
      <c r="AQ51" s="1640"/>
      <c r="AR51" s="1640"/>
      <c r="AS51" s="1647">
        <v>11</v>
      </c>
    </row>
    <row customHeight="1" ht="11.549999999999999">
      <c r="A52" s="1283" t="s">
        <v>365</v>
      </c>
      <c r="B52" s="1283" t="s">
        <v>366</v>
      </c>
      <c r="C52" s="1283" t="s">
        <v>367</v>
      </c>
      <c r="D52" s="1283" t="s">
        <v>368</v>
      </c>
      <c r="E52" s="2306"/>
      <c r="F52" s="2306"/>
      <c r="G52" s="2306"/>
      <c r="H52" s="2306"/>
      <c r="I52" s="2143"/>
      <c r="J52" s="1283"/>
      <c r="K52" s="1283"/>
      <c r="L52" s="1326"/>
      <c r="P52" s="2273"/>
      <c r="Q52" s="1970"/>
      <c r="R52" s="372"/>
      <c r="S52" s="1294"/>
      <c r="T52" s="303" t="s">
        <v>565</v>
      </c>
      <c r="U52" s="616"/>
      <c r="V52" s="616"/>
      <c r="W52" s="616"/>
      <c r="X52" s="616"/>
      <c r="Y52" s="616"/>
      <c r="Z52" s="616"/>
      <c r="AA52" s="616"/>
      <c r="AB52" s="616"/>
      <c r="AC52" s="382"/>
      <c r="AD52" s="616"/>
      <c r="AE52" s="616"/>
      <c r="AF52" s="616"/>
      <c r="AG52" s="616"/>
      <c r="AH52" s="616"/>
      <c r="AI52" s="616"/>
      <c r="AJ52" s="616"/>
      <c r="AK52" s="382"/>
      <c r="AL52" s="616"/>
      <c r="AM52" s="319"/>
      <c r="AO52" s="1640"/>
      <c r="AP52" s="1640" t="str">
        <f>IF(T52="","",T52)</f>
        <v>Добавить группу потребителей</v>
      </c>
      <c r="AQ52" s="1640"/>
      <c r="AR52" s="1640"/>
      <c r="AS52" s="1647">
        <v>11</v>
      </c>
    </row>
    <row customHeight="1" ht="14.699999999999998">
      <c r="A53" s="1283" t="s">
        <v>365</v>
      </c>
      <c r="B53" s="1283" t="s">
        <v>366</v>
      </c>
      <c r="C53" s="1283" t="s">
        <v>367</v>
      </c>
      <c r="D53" s="1283" t="s">
        <v>368</v>
      </c>
      <c r="E53" s="2306"/>
      <c r="F53" s="2306"/>
      <c r="G53" s="2306"/>
      <c r="H53" s="2305"/>
      <c r="I53" s="1283"/>
      <c r="J53" s="1283"/>
      <c r="K53" s="1283"/>
      <c r="L53" s="1326"/>
      <c r="M53" s="1626"/>
      <c r="N53" s="1626"/>
      <c r="O53" s="1651"/>
      <c r="P53" s="376"/>
      <c r="Q53" s="391"/>
      <c r="R53" s="371"/>
      <c r="S53" s="1294"/>
      <c r="T53" s="381" t="s">
        <v>566</v>
      </c>
      <c r="U53" s="616"/>
      <c r="V53" s="616"/>
      <c r="W53" s="616"/>
      <c r="X53" s="616"/>
      <c r="Y53" s="616"/>
      <c r="Z53" s="616"/>
      <c r="AA53" s="616"/>
      <c r="AB53" s="616"/>
      <c r="AC53" s="382"/>
      <c r="AD53" s="616"/>
      <c r="AE53" s="616"/>
      <c r="AF53" s="616"/>
      <c r="AG53" s="616"/>
      <c r="AH53" s="616"/>
      <c r="AI53" s="616"/>
      <c r="AJ53" s="616"/>
      <c r="AK53" s="382"/>
      <c r="AL53" s="616"/>
      <c r="AM53" s="319"/>
      <c r="AO53" s="1640"/>
      <c r="AP53" s="1640" t="str">
        <f>IF(T53="","",T53)</f>
        <v>Добавить схему подключения</v>
      </c>
      <c r="AQ53" s="1640"/>
      <c r="AR53" s="1640"/>
      <c r="AS53" s="1647">
        <v>14</v>
      </c>
    </row>
    <row s="1658" customFormat="1" customHeight="1" ht="4.2">
      <c r="A54" s="1391" t="s">
        <v>365</v>
      </c>
      <c r="B54" s="1391" t="s">
        <v>366</v>
      </c>
      <c r="C54" s="1391" t="s">
        <v>367</v>
      </c>
      <c r="D54" s="1390"/>
      <c r="E54" s="2306"/>
      <c r="F54" s="2306"/>
      <c r="G54" s="2305"/>
      <c r="H54" s="1390"/>
      <c r="I54" s="1390"/>
      <c r="J54" s="1390"/>
      <c r="K54" s="1390"/>
      <c r="L54" s="1393"/>
      <c r="M54" s="1394"/>
      <c r="N54" s="1394"/>
      <c r="O54" s="367"/>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1267"/>
      <c r="AP54" s="1267" t="str">
        <f>IF(T54="","",T54)</f>
        <v>Добавить источник для дифференциации</v>
      </c>
      <c r="AQ54" s="1267"/>
      <c r="AR54" s="1267"/>
      <c r="AS54" s="1658">
        <v>4</v>
      </c>
    </row>
    <row s="1658" customFormat="1" customHeight="1" ht="4.2">
      <c r="A55" s="1391" t="s">
        <v>365</v>
      </c>
      <c r="B55" s="1391" t="s">
        <v>366</v>
      </c>
      <c r="C55" s="1390"/>
      <c r="D55" s="1390"/>
      <c r="E55" s="2306"/>
      <c r="F55" s="2305"/>
      <c r="G55" s="1390"/>
      <c r="H55" s="1390"/>
      <c r="I55" s="1390"/>
      <c r="J55" s="1390"/>
      <c r="K55" s="1390"/>
      <c r="L55" s="1393"/>
      <c r="M55" s="1395"/>
      <c r="N55" s="1395"/>
      <c r="O55" s="36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1267"/>
      <c r="AP55" s="1267" t="str">
        <f>IF(T55="","",T55)</f>
        <v>Добавить централизованную систему для дифференциации</v>
      </c>
      <c r="AQ55" s="1267"/>
      <c r="AR55" s="1267"/>
      <c r="AS55" s="1658">
        <v>4</v>
      </c>
    </row>
    <row s="1658" customFormat="1" customHeight="1" ht="4.2">
      <c r="A56" s="1391" t="s">
        <v>365</v>
      </c>
      <c r="B56" s="1391"/>
      <c r="C56" s="1391"/>
      <c r="D56" s="1391"/>
      <c r="E56" s="2305"/>
      <c r="F56" s="1391"/>
      <c r="G56" s="1391"/>
      <c r="H56" s="1391"/>
      <c r="I56" s="1391"/>
      <c r="J56" s="1391"/>
      <c r="K56" s="1391"/>
      <c r="L56" s="1397"/>
      <c r="M56" s="1395"/>
      <c r="N56" s="1395"/>
      <c r="O56" s="367"/>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1640"/>
      <c r="AP56" s="1640" t="str">
        <f>IF(T56="","",T56)</f>
        <v>Добавить территорию для дифференциации</v>
      </c>
      <c r="AQ56" s="1640"/>
      <c r="AR56" s="1640"/>
      <c r="AS56" s="1652">
        <v>4</v>
      </c>
    </row>
    <row s="1658" customFormat="1" customHeight="1" ht="4.2">
      <c r="A57" s="1390"/>
      <c r="B57" s="1390"/>
      <c r="C57" s="1390"/>
      <c r="D57" s="1390"/>
      <c r="E57" s="1391"/>
      <c r="F57" s="1390"/>
      <c r="G57" s="1390"/>
      <c r="H57" s="1390"/>
      <c r="I57" s="1390"/>
      <c r="J57" s="1390"/>
      <c r="K57" s="1390"/>
      <c r="L57" s="1393"/>
      <c r="M57" s="1395"/>
      <c r="N57" s="1395"/>
      <c r="O57" s="36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1267"/>
      <c r="AP57" s="1267" t="str">
        <f>IF(T57="","",T57)</f>
        <v>Добавить наименование тарифа</v>
      </c>
      <c r="AQ57" s="1267"/>
      <c r="AR57" s="1267"/>
      <c r="AS57" s="1658">
        <v>4</v>
      </c>
    </row>
    <row customHeight="1" ht="11.549999999999999">
      <c r="M58" s="1647"/>
      <c r="N58" s="1647"/>
      <c r="O58" s="1651"/>
      <c r="P58" s="1647"/>
      <c r="Q58" s="1647"/>
      <c r="R58" s="1647"/>
      <c r="S58" s="1647"/>
      <c r="AN58" s="1647"/>
      <c r="AO58" s="1647"/>
      <c r="AP58" s="1647"/>
      <c r="AQ58" s="1647"/>
      <c r="AR58" s="1647"/>
      <c r="AS58" s="1647">
        <v>11</v>
      </c>
    </row>
    <row customHeight="1" ht="28.5">
      <c r="O59" s="1651"/>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47">
        <v>27</v>
      </c>
    </row>
    <row customHeight="1" ht="65.25">
      <c r="O60" s="1651"/>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47">
        <v>62</v>
      </c>
    </row>
    <row customHeight="1" ht="14.699999999999998">
      <c r="O61" s="1651"/>
      <c r="AS61" s="1647">
        <v>14</v>
      </c>
    </row>
    <row customHeight="1" ht="18.75">
      <c r="O62" s="1651"/>
      <c r="S62" s="1269"/>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47">
        <v>18</v>
      </c>
    </row>
    <row customHeight="1" ht="18.75">
      <c r="O63" s="165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47">
        <v>18</v>
      </c>
    </row>
    <row customHeight="1" ht="29.25">
      <c r="O64" s="1651"/>
      <c r="S64" s="1269"/>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47">
        <v>28</v>
      </c>
    </row>
    <row customHeight="1" ht="22.5" hidden="1">
      <c r="A65" s="1647" t="s">
        <v>85</v>
      </c>
      <c r="B65" s="1647">
        <v>0</v>
      </c>
      <c r="C65" s="1647">
        <v>0</v>
      </c>
      <c r="D65" s="1647">
        <v>0</v>
      </c>
      <c r="E65" s="1647">
        <v>0</v>
      </c>
      <c r="F65" s="1647">
        <v>0</v>
      </c>
      <c r="G65" s="1647">
        <v>0</v>
      </c>
      <c r="H65" s="1647">
        <v>0</v>
      </c>
      <c r="I65" s="1647">
        <v>0</v>
      </c>
      <c r="J65" s="1647">
        <v>0</v>
      </c>
      <c r="K65" s="1647">
        <v>0</v>
      </c>
      <c r="L65" s="1955">
        <v>0</v>
      </c>
      <c r="M65" s="1981">
        <v>0</v>
      </c>
      <c r="N65" s="1981">
        <v>0</v>
      </c>
      <c r="O65" s="1981">
        <v>0</v>
      </c>
      <c r="P65" s="1981">
        <v>3</v>
      </c>
      <c r="Q65" s="360">
        <v>3</v>
      </c>
      <c r="R65" s="360">
        <v>3</v>
      </c>
      <c r="S65" s="597">
        <v>12</v>
      </c>
      <c r="T65" s="1647">
        <v>31</v>
      </c>
      <c r="U65" s="1647">
        <v>0</v>
      </c>
      <c r="V65" s="1647">
        <v>0</v>
      </c>
      <c r="W65" s="1647">
        <v>0</v>
      </c>
      <c r="X65" s="1647">
        <v>0</v>
      </c>
      <c r="Y65" s="1647">
        <v>0</v>
      </c>
      <c r="Z65" s="1647">
        <v>0</v>
      </c>
      <c r="AA65" s="1647">
        <v>0</v>
      </c>
      <c r="AB65" s="1647">
        <v>0</v>
      </c>
      <c r="AC65" s="1647">
        <v>0</v>
      </c>
      <c r="AD65" s="1647">
        <v>24</v>
      </c>
      <c r="AE65" s="1647">
        <v>0</v>
      </c>
      <c r="AF65" s="1647">
        <v>24</v>
      </c>
      <c r="AG65" s="1647">
        <v>24</v>
      </c>
      <c r="AH65" s="1647">
        <v>11</v>
      </c>
      <c r="AI65" s="1647">
        <v>3</v>
      </c>
      <c r="AJ65" s="1647">
        <v>11</v>
      </c>
      <c r="AK65" s="1647">
        <v>0</v>
      </c>
      <c r="AL65" s="1647">
        <v>4</v>
      </c>
      <c r="AM65" s="1647">
        <v>115</v>
      </c>
      <c r="AN65" s="1652">
        <v>10</v>
      </c>
      <c r="AO65" s="1652">
        <v>10</v>
      </c>
      <c r="AP65" s="1652">
        <v>10</v>
      </c>
      <c r="AQ65" s="1652">
        <v>10</v>
      </c>
      <c r="AR65" s="1652">
        <v>10</v>
      </c>
      <c r="AS65" s="164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DFE53-09F9-DBF2-D48E-4637C086C0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51" width="10.57421875" hidden="1"/>
    <col min="2" max="2" style="1651" width="11.00390625" hidden="1" customWidth="1"/>
    <col min="3" max="3" style="1651" width="10.57421875" hidden="1"/>
    <col min="4" max="4" style="1651" width="11.8515625" hidden="1" customWidth="1"/>
    <col min="5" max="5" style="1651" width="10.00390625" hidden="1" customWidth="1"/>
    <col min="6" max="6" style="1651" width="8.7109375" hidden="1" customWidth="1"/>
    <col min="7" max="7" style="1651" width="7.57421875" hidden="1" customWidth="1"/>
    <col min="8" max="8" style="1651" width="11.421875" hidden="1" customWidth="1"/>
    <col min="9" max="9" style="1651" width="12.00390625" hidden="1" customWidth="1"/>
    <col min="10" max="10" style="1651" width="9.8515625" hidden="1" customWidth="1"/>
    <col min="11" max="11" style="1651"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60" width="3.00390625" customWidth="1"/>
    <col min="19" max="19" style="2423" width="12.00390625" customWidth="1"/>
    <col min="20" max="20" style="1651" width="31.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AS1" s="1647" t="s">
        <v>14</v>
      </c>
    </row>
    <row customHeight="1" ht="21" hidden="1">
      <c r="A2" s="1283"/>
      <c r="B2" s="1283"/>
      <c r="C2" s="1283"/>
      <c r="D2" s="1283"/>
      <c r="E2" s="2305">
        <v>1</v>
      </c>
      <c r="F2" s="1283"/>
      <c r="G2" s="1283"/>
      <c r="H2" s="1283"/>
      <c r="I2" s="1283"/>
      <c r="J2" s="1283"/>
      <c r="K2" s="1283"/>
      <c r="L2" s="1326"/>
      <c r="M2" s="1626"/>
      <c r="N2" s="1626"/>
      <c r="O2" s="1626"/>
      <c r="P2" s="1606"/>
      <c r="Q2" s="376"/>
      <c r="R2" s="371"/>
      <c r="S2" s="1974">
        <f>INDEX(PT_DIFFERENTIATION_NUM_NTAR,MATCH(A2,PT_DIFFERENTIATION_NTAR_ID,0))</f>
      </c>
      <c r="T2" s="1541"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1640"/>
      <c r="AP2" s="1640" t="str">
        <f>IF(T2="","",T2)</f>
        <v>Наименование тарифа</v>
      </c>
      <c r="AQ2" s="1640"/>
      <c r="AR2" s="1640"/>
      <c r="AS2" s="1647">
        <v>0</v>
      </c>
    </row>
    <row customHeight="1" ht="21" hidden="1">
      <c r="A3" s="1283"/>
      <c r="B3" s="1283"/>
      <c r="C3" s="1283"/>
      <c r="D3" s="1283"/>
      <c r="E3" s="2306"/>
      <c r="F3" s="2305">
        <v>1</v>
      </c>
      <c r="G3" s="1283"/>
      <c r="H3" s="1283"/>
      <c r="I3" s="1283"/>
      <c r="J3" s="1283"/>
      <c r="K3" s="1283"/>
      <c r="L3" s="1326"/>
      <c r="M3" s="1626"/>
      <c r="N3" s="1626"/>
      <c r="O3" s="1626"/>
      <c r="P3" s="1956"/>
      <c r="Q3" s="368"/>
      <c r="R3" s="369"/>
      <c r="S3" s="1974">
        <f>INDEX(PT_DIFFERENTIATION_NUM_TER,MATCH(B3,PT_DIFFERENTIATION_TER_ID,0))</f>
      </c>
      <c r="T3" s="1538"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1640"/>
      <c r="AP3" s="1640" t="str">
        <f>IF(T3="","",T3)</f>
        <v>Территория действия тарифа</v>
      </c>
      <c r="AQ3" s="1640"/>
      <c r="AR3" s="1640"/>
      <c r="AS3" s="1647">
        <v>0</v>
      </c>
    </row>
    <row customHeight="1" ht="23.25" hidden="1">
      <c r="A4" s="1283"/>
      <c r="B4" s="1283"/>
      <c r="C4" s="1283"/>
      <c r="D4" s="1283"/>
      <c r="E4" s="2306"/>
      <c r="F4" s="2306"/>
      <c r="G4" s="2305">
        <v>1</v>
      </c>
      <c r="H4" s="1283"/>
      <c r="I4" s="1283"/>
      <c r="J4" s="1283"/>
      <c r="K4" s="1283"/>
      <c r="L4" s="1326"/>
      <c r="M4" s="1626"/>
      <c r="N4" s="1626"/>
      <c r="O4" s="1626"/>
      <c r="P4" s="370"/>
      <c r="Q4" s="368"/>
      <c r="R4" s="369"/>
      <c r="S4" s="1974">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1640"/>
      <c r="AP4" s="1640" t="str">
        <f>IF(T4="","",T4)</f>
        <v>Наименование системы теплоснабжения </v>
      </c>
      <c r="AQ4" s="1640"/>
      <c r="AR4" s="1640"/>
      <c r="AS4" s="1647">
        <v>0</v>
      </c>
    </row>
    <row customHeight="1" ht="21" hidden="1">
      <c r="A5" s="1283"/>
      <c r="B5" s="1283"/>
      <c r="C5" s="1283"/>
      <c r="D5" s="1283"/>
      <c r="E5" s="2306"/>
      <c r="F5" s="2306"/>
      <c r="G5" s="2306"/>
      <c r="H5" s="2305">
        <v>1</v>
      </c>
      <c r="I5" s="1283"/>
      <c r="J5" s="1283"/>
      <c r="K5" s="1283"/>
      <c r="L5" s="1326"/>
      <c r="M5" s="1626"/>
      <c r="N5" s="1626"/>
      <c r="O5" s="1626"/>
      <c r="P5" s="370"/>
      <c r="Q5" s="368"/>
      <c r="R5" s="369"/>
      <c r="S5" s="1974">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1640"/>
      <c r="AP5" s="1640" t="str">
        <f>IF(T5="","",T5)</f>
        <v>Источник тепловой энергии  </v>
      </c>
      <c r="AQ5" s="1640"/>
      <c r="AR5" s="1640"/>
      <c r="AS5" s="1647">
        <v>0</v>
      </c>
    </row>
    <row customHeight="1" ht="47.25" hidden="1">
      <c r="A6" s="1283"/>
      <c r="B6" s="1283"/>
      <c r="C6" s="1283"/>
      <c r="D6" s="1283"/>
      <c r="E6" s="2306"/>
      <c r="F6" s="2306"/>
      <c r="G6" s="2306"/>
      <c r="H6" s="2306"/>
      <c r="I6" s="2143">
        <f>S5&amp;".1"</f>
      </c>
      <c r="J6" s="1283"/>
      <c r="K6" s="1283"/>
      <c r="L6" s="1326" t="s">
        <v>556</v>
      </c>
      <c r="M6" s="1651"/>
      <c r="P6" s="2273">
        <v>1</v>
      </c>
      <c r="Q6" s="1970"/>
      <c r="R6" s="372"/>
      <c r="S6" s="1974">
        <f>$I6</f>
      </c>
      <c r="T6" s="301" t="s">
        <v>557</v>
      </c>
      <c r="U6" s="316"/>
      <c r="V6" s="2261"/>
      <c r="W6" s="2262"/>
      <c r="X6" s="2262"/>
      <c r="Y6" s="2262"/>
      <c r="Z6" s="2262"/>
      <c r="AA6" s="2262"/>
      <c r="AB6" s="2262"/>
      <c r="AC6" s="2263"/>
      <c r="AD6" s="2261"/>
      <c r="AE6" s="2262"/>
      <c r="AF6" s="2262"/>
      <c r="AG6" s="2262"/>
      <c r="AH6" s="2262"/>
      <c r="AI6" s="2262"/>
      <c r="AJ6" s="2262"/>
      <c r="AK6" s="2262"/>
      <c r="AL6" s="2263"/>
      <c r="AM6" s="1274" t="s">
        <v>558</v>
      </c>
      <c r="AO6" s="1640"/>
      <c r="AP6" s="1640" t="str">
        <f>IF(T6="","",T6)</f>
        <v>Схема подключения теплопотребляющей установки к коллектору источника тепловой энергии</v>
      </c>
      <c r="AQ6" s="1640"/>
      <c r="AR6" s="1640"/>
      <c r="AS6" s="1647">
        <v>0</v>
      </c>
    </row>
    <row customHeight="1" ht="21" hidden="1">
      <c r="A7" s="1283"/>
      <c r="B7" s="1283"/>
      <c r="C7" s="1283"/>
      <c r="D7" s="1283"/>
      <c r="E7" s="2306"/>
      <c r="F7" s="2306"/>
      <c r="G7" s="2306"/>
      <c r="H7" s="2306"/>
      <c r="I7" s="2117"/>
      <c r="J7" s="2143">
        <f>I6&amp;".1"</f>
      </c>
      <c r="K7" s="1283"/>
      <c r="L7" s="1326" t="s">
        <v>559</v>
      </c>
      <c r="M7" s="1651"/>
      <c r="N7" s="1647"/>
      <c r="P7" s="2273"/>
      <c r="Q7" s="2273">
        <v>1</v>
      </c>
      <c r="R7" s="373"/>
      <c r="S7" s="1974">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1640"/>
      <c r="AP7" s="1640" t="str">
        <f>IF(T7="","",T7)</f>
        <v>Группа потребителей</v>
      </c>
      <c r="AQ7" s="1640"/>
      <c r="AR7" s="1640"/>
      <c r="AS7" s="1647">
        <v>0</v>
      </c>
    </row>
    <row customHeight="1" ht="21" hidden="1">
      <c r="A8" s="1283"/>
      <c r="B8" s="1283"/>
      <c r="C8" s="1283"/>
      <c r="D8" s="1283"/>
      <c r="E8" s="2306"/>
      <c r="F8" s="2306"/>
      <c r="G8" s="2306"/>
      <c r="H8" s="2306"/>
      <c r="I8" s="2117"/>
      <c r="J8" s="2117"/>
      <c r="K8" s="2143">
        <f>J7&amp;".1"</f>
      </c>
      <c r="L8" s="1326" t="s">
        <v>562</v>
      </c>
      <c r="M8" s="1651"/>
      <c r="N8" s="1647"/>
      <c r="O8" s="1647"/>
      <c r="P8" s="2273"/>
      <c r="Q8" s="2273"/>
      <c r="R8" s="373">
        <v>1</v>
      </c>
      <c r="S8" s="1974">
        <f>$K8</f>
      </c>
      <c r="T8" s="1363"/>
      <c r="U8" s="316"/>
      <c r="V8" s="767"/>
      <c r="W8" s="341"/>
      <c r="X8" s="767"/>
      <c r="Y8" s="1273"/>
      <c r="Z8" s="2281"/>
      <c r="AA8" s="2123" t="s">
        <v>64</v>
      </c>
      <c r="AB8" s="2281"/>
      <c r="AC8" s="2123" t="s">
        <v>64</v>
      </c>
      <c r="AD8" s="767"/>
      <c r="AE8" s="341"/>
      <c r="AF8" s="767"/>
      <c r="AG8" s="1273"/>
      <c r="AH8" s="2281"/>
      <c r="AI8" s="2123" t="s">
        <v>64</v>
      </c>
      <c r="AJ8" s="2281"/>
      <c r="AK8" s="2123" t="s">
        <v>64</v>
      </c>
      <c r="AL8" s="341"/>
      <c r="AM8" s="2269" t="s">
        <v>563</v>
      </c>
      <c r="AN8" s="1652">
        <f>STRCHECKDATE(V9:AL9)</f>
      </c>
      <c r="AO8" s="1640"/>
      <c r="AP8" s="1640" t="str">
        <f>IF(T8="","",T8)</f>
        <v/>
      </c>
      <c r="AQ8" s="1640"/>
      <c r="AR8" s="1640"/>
      <c r="AS8" s="1647">
        <v>0</v>
      </c>
    </row>
    <row customHeight="1" ht="0.75" hidden="1">
      <c r="A9" s="1283"/>
      <c r="B9" s="1283"/>
      <c r="C9" s="1283"/>
      <c r="D9" s="1283"/>
      <c r="E9" s="2306"/>
      <c r="F9" s="2306"/>
      <c r="G9" s="2306"/>
      <c r="H9" s="2306"/>
      <c r="I9" s="2117"/>
      <c r="J9" s="2117"/>
      <c r="K9" s="2143"/>
      <c r="L9" s="1326"/>
      <c r="M9" s="1651"/>
      <c r="N9" s="1647"/>
      <c r="O9" s="1647"/>
      <c r="P9" s="2273"/>
      <c r="Q9" s="2273"/>
      <c r="R9" s="373"/>
      <c r="S9" s="1983"/>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1640"/>
      <c r="AP9" s="1640" t="str">
        <f>IF(T9="","",T9)</f>
        <v/>
      </c>
      <c r="AQ9" s="1640"/>
      <c r="AR9" s="1640"/>
      <c r="AS9" s="1647">
        <v>0</v>
      </c>
    </row>
    <row customHeight="1" ht="15" hidden="1">
      <c r="A10" s="1283"/>
      <c r="B10" s="1283"/>
      <c r="C10" s="1283"/>
      <c r="D10" s="1283"/>
      <c r="E10" s="2306"/>
      <c r="F10" s="2306"/>
      <c r="G10" s="2306"/>
      <c r="H10" s="2306"/>
      <c r="I10" s="2117"/>
      <c r="J10" s="2143"/>
      <c r="K10" s="1283"/>
      <c r="L10" s="1326"/>
      <c r="M10" s="1651"/>
      <c r="N10" s="1647"/>
      <c r="P10" s="2273"/>
      <c r="Q10" s="2273"/>
      <c r="R10" s="372"/>
      <c r="S10" s="1294"/>
      <c r="T10" s="304" t="s">
        <v>564</v>
      </c>
      <c r="U10" s="616"/>
      <c r="V10" s="616"/>
      <c r="W10" s="616"/>
      <c r="X10" s="616"/>
      <c r="Y10" s="616"/>
      <c r="Z10" s="616"/>
      <c r="AA10" s="616"/>
      <c r="AB10" s="616"/>
      <c r="AC10" s="616"/>
      <c r="AD10" s="616"/>
      <c r="AE10" s="616"/>
      <c r="AF10" s="616"/>
      <c r="AG10" s="616"/>
      <c r="AH10" s="616"/>
      <c r="AI10" s="616"/>
      <c r="AJ10" s="616"/>
      <c r="AK10" s="616"/>
      <c r="AL10" s="340"/>
      <c r="AM10" s="2271"/>
      <c r="AO10" s="1640"/>
      <c r="AP10" s="1640" t="str">
        <f>IF(T10="","",T10)</f>
        <v>Добавить вид теплоносителя (параметры теплоносителя)</v>
      </c>
      <c r="AQ10" s="1640"/>
      <c r="AR10" s="1640"/>
      <c r="AS10" s="1647">
        <v>0</v>
      </c>
    </row>
    <row customHeight="1" ht="15" hidden="1">
      <c r="A11" s="1283"/>
      <c r="B11" s="1283"/>
      <c r="C11" s="1283"/>
      <c r="D11" s="1283"/>
      <c r="E11" s="2306"/>
      <c r="F11" s="2306"/>
      <c r="G11" s="2306"/>
      <c r="H11" s="2306"/>
      <c r="I11" s="2143"/>
      <c r="J11" s="1283"/>
      <c r="K11" s="1283"/>
      <c r="L11" s="1326"/>
      <c r="M11" s="1651"/>
      <c r="P11" s="2273"/>
      <c r="Q11" s="1970"/>
      <c r="R11" s="372"/>
      <c r="S11" s="1294"/>
      <c r="T11" s="303" t="s">
        <v>565</v>
      </c>
      <c r="U11" s="616"/>
      <c r="V11" s="616"/>
      <c r="W11" s="616"/>
      <c r="X11" s="616"/>
      <c r="Y11" s="616"/>
      <c r="Z11" s="616"/>
      <c r="AA11" s="616"/>
      <c r="AB11" s="616"/>
      <c r="AC11" s="382"/>
      <c r="AD11" s="616"/>
      <c r="AE11" s="616"/>
      <c r="AF11" s="616"/>
      <c r="AG11" s="616"/>
      <c r="AH11" s="616"/>
      <c r="AI11" s="616"/>
      <c r="AJ11" s="616"/>
      <c r="AK11" s="382"/>
      <c r="AL11" s="616"/>
      <c r="AM11" s="319"/>
      <c r="AO11" s="1640"/>
      <c r="AP11" s="1640" t="str">
        <f>IF(T11="","",T11)</f>
        <v>Добавить группу потребителей</v>
      </c>
      <c r="AQ11" s="1640"/>
      <c r="AR11" s="1640"/>
      <c r="AS11" s="1647">
        <v>0</v>
      </c>
    </row>
    <row customHeight="1" ht="14.25" hidden="1">
      <c r="A12" s="1283"/>
      <c r="B12" s="1283"/>
      <c r="C12" s="1283"/>
      <c r="D12" s="1283"/>
      <c r="E12" s="2306"/>
      <c r="F12" s="2306"/>
      <c r="G12" s="2306"/>
      <c r="H12" s="2305"/>
      <c r="I12" s="1283"/>
      <c r="J12" s="1283"/>
      <c r="K12" s="1283"/>
      <c r="L12" s="1326"/>
      <c r="M12" s="1626"/>
      <c r="N12" s="1626"/>
      <c r="O12" s="1651"/>
      <c r="P12" s="376"/>
      <c r="Q12" s="391"/>
      <c r="R12" s="371"/>
      <c r="S12" s="1294"/>
      <c r="T12" s="381" t="s">
        <v>566</v>
      </c>
      <c r="U12" s="616"/>
      <c r="V12" s="616"/>
      <c r="W12" s="616"/>
      <c r="X12" s="616"/>
      <c r="Y12" s="616"/>
      <c r="Z12" s="616"/>
      <c r="AA12" s="616"/>
      <c r="AB12" s="616"/>
      <c r="AC12" s="382"/>
      <c r="AD12" s="616"/>
      <c r="AE12" s="616"/>
      <c r="AF12" s="616"/>
      <c r="AG12" s="616"/>
      <c r="AH12" s="616"/>
      <c r="AI12" s="616"/>
      <c r="AJ12" s="616"/>
      <c r="AK12" s="382"/>
      <c r="AL12" s="616"/>
      <c r="AM12" s="319"/>
      <c r="AO12" s="1640"/>
      <c r="AP12" s="1640" t="str">
        <f>IF(T12="","",T12)</f>
        <v>Добавить схему подключения</v>
      </c>
      <c r="AQ12" s="1640"/>
      <c r="AR12" s="1640"/>
      <c r="AS12" s="1647">
        <v>0</v>
      </c>
    </row>
    <row s="1658" customFormat="1" customHeight="1" ht="0.75" hidden="1">
      <c r="A13" s="1990"/>
      <c r="B13" s="1990"/>
      <c r="C13" s="1990"/>
      <c r="D13" s="1990"/>
      <c r="E13" s="2306"/>
      <c r="F13" s="2306"/>
      <c r="G13" s="2305"/>
      <c r="H13" s="1990"/>
      <c r="I13" s="1990"/>
      <c r="J13" s="1990"/>
      <c r="K13" s="1990"/>
      <c r="L13" s="1396"/>
      <c r="M13" s="1626"/>
      <c r="N13" s="1626"/>
      <c r="O13" s="165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1267"/>
      <c r="AP13" s="1267" t="str">
        <f>IF(T13="","",T13)</f>
        <v>Добавить источник для дифференциации</v>
      </c>
      <c r="AQ13" s="1267"/>
      <c r="AR13" s="1267"/>
      <c r="AS13" s="1658">
        <v>0</v>
      </c>
    </row>
    <row s="1658" customFormat="1" customHeight="1" ht="0.75" hidden="1">
      <c r="A14" s="1990"/>
      <c r="B14" s="1990"/>
      <c r="C14" s="1990"/>
      <c r="D14" s="1990"/>
      <c r="E14" s="2306"/>
      <c r="F14" s="2305"/>
      <c r="G14" s="1990"/>
      <c r="H14" s="1990"/>
      <c r="I14" s="1990"/>
      <c r="J14" s="1990"/>
      <c r="K14" s="1990"/>
      <c r="L14" s="1396"/>
      <c r="M14" s="1991"/>
      <c r="N14" s="1991"/>
      <c r="O14" s="1651"/>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1267"/>
      <c r="AP14" s="1267" t="str">
        <f>IF(T14="","",T14)</f>
        <v>Добавить централизованную систему для дифференциации</v>
      </c>
      <c r="AQ14" s="1267"/>
      <c r="AR14" s="1267"/>
      <c r="AS14" s="1658">
        <v>0</v>
      </c>
    </row>
    <row s="1658" customFormat="1" customHeight="1" ht="0.75" hidden="1">
      <c r="A15" s="1990"/>
      <c r="B15" s="1990"/>
      <c r="C15" s="1990"/>
      <c r="D15" s="1990"/>
      <c r="E15" s="2305"/>
      <c r="F15" s="1990"/>
      <c r="G15" s="1990"/>
      <c r="H15" s="1990"/>
      <c r="I15" s="1990"/>
      <c r="J15" s="1990"/>
      <c r="K15" s="1990"/>
      <c r="L15" s="1396"/>
      <c r="M15" s="1991"/>
      <c r="N15" s="1991"/>
      <c r="O15" s="1651"/>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1267"/>
      <c r="AP15" s="1267" t="str">
        <f>IF(T15="","",T15)</f>
        <v>Добавить территорию для дифференциации</v>
      </c>
      <c r="AQ15" s="1267"/>
      <c r="AR15" s="1267"/>
      <c r="AS15" s="1658">
        <v>0</v>
      </c>
    </row>
    <row customHeight="1" ht="14.25" hidden="1">
      <c r="AS16" s="1647">
        <v>0</v>
      </c>
    </row>
    <row customHeight="1" ht="14.25" hidden="1">
      <c r="AD17" s="1376"/>
      <c r="AE17" s="1376"/>
      <c r="AF17" s="1376"/>
      <c r="AG17" s="1377"/>
      <c r="AH17" s="2283"/>
      <c r="AI17" s="2284" t="s">
        <v>64</v>
      </c>
      <c r="AJ17" s="2283"/>
      <c r="AK17" s="2284" t="s">
        <v>64</v>
      </c>
      <c r="AS17" s="1647">
        <v>0</v>
      </c>
    </row>
    <row customHeight="1" ht="14.25" hidden="1">
      <c r="AD18" s="1376"/>
      <c r="AE18" s="1376"/>
      <c r="AF18" s="1376"/>
      <c r="AG18" s="344" t="str">
        <f>AH17&amp;"-"&amp;AJ17</f>
        <v>-</v>
      </c>
      <c r="AH18" s="2284"/>
      <c r="AI18" s="2284"/>
      <c r="AJ18" s="2284"/>
      <c r="AK18" s="2284"/>
      <c r="AS18" s="1647">
        <v>0</v>
      </c>
    </row>
    <row customHeight="1" ht="14.25" hidden="1">
      <c r="AS19" s="1647">
        <v>0</v>
      </c>
    </row>
    <row s="1382" customFormat="1" customHeight="1" ht="14.25" hidden="1">
      <c r="A20" s="1647"/>
      <c r="B20" s="1647"/>
      <c r="C20" s="1647"/>
      <c r="D20" s="1647"/>
      <c r="E20" s="1647"/>
      <c r="F20" s="1647"/>
      <c r="G20" s="1647"/>
      <c r="H20" s="1647"/>
      <c r="I20" s="1647"/>
      <c r="J20" s="1647"/>
      <c r="K20" s="1647"/>
      <c r="L20" s="1955"/>
      <c r="M20" s="1981"/>
      <c r="N20" s="1981"/>
      <c r="O20" s="1361" t="s">
        <v>567</v>
      </c>
      <c r="P20" s="1378"/>
      <c r="Q20" s="1387"/>
      <c r="R20" s="1387"/>
      <c r="S20" s="745"/>
      <c r="Z20" s="1383"/>
      <c r="AB20" s="1383"/>
      <c r="AH20" s="1383"/>
      <c r="AJ20" s="1383"/>
      <c r="AN20" s="1652"/>
      <c r="AO20" s="1652"/>
      <c r="AP20" s="1652"/>
      <c r="AQ20" s="1652"/>
      <c r="AR20" s="1652"/>
      <c r="AS20" s="1382">
        <v>0</v>
      </c>
    </row>
    <row s="1382" customFormat="1" customHeight="1" ht="14.25" hidden="1">
      <c r="A21" s="1647"/>
      <c r="B21" s="1647"/>
      <c r="C21" s="1647"/>
      <c r="D21" s="1647"/>
      <c r="E21" s="1647"/>
      <c r="F21" s="1647"/>
      <c r="G21" s="1647"/>
      <c r="H21" s="1647"/>
      <c r="I21" s="1647"/>
      <c r="J21" s="1647"/>
      <c r="K21" s="1647"/>
      <c r="L21" s="1955"/>
      <c r="M21" s="1981"/>
      <c r="N21" s="1981"/>
      <c r="O21" s="1981"/>
      <c r="P21" s="1378"/>
      <c r="Q21" s="1387"/>
      <c r="R21" s="1387"/>
      <c r="S21" s="745"/>
      <c r="AN21" s="1652"/>
      <c r="AO21" s="1652"/>
      <c r="AP21" s="1652"/>
      <c r="AQ21" s="1652"/>
      <c r="AR21" s="1652"/>
      <c r="AS21" s="1382">
        <v>0</v>
      </c>
    </row>
    <row s="1382" customFormat="1" customHeight="1" ht="14.25" hidden="1">
      <c r="A22" s="1647"/>
      <c r="B22" s="1647"/>
      <c r="C22" s="1647"/>
      <c r="D22" s="1647"/>
      <c r="E22" s="1647"/>
      <c r="F22" s="1647"/>
      <c r="G22" s="1647"/>
      <c r="H22" s="1647"/>
      <c r="I22" s="1647"/>
      <c r="J22" s="1647"/>
      <c r="K22" s="1647"/>
      <c r="L22" s="1955"/>
      <c r="M22" s="1981"/>
      <c r="N22" s="1981"/>
      <c r="O22" s="1326" t="s">
        <v>568</v>
      </c>
      <c r="P22" s="1378"/>
      <c r="Q22" s="1387"/>
      <c r="R22" s="1387"/>
      <c r="S22" s="745"/>
      <c r="T22" s="1382" t="s">
        <v>569</v>
      </c>
      <c r="AA22" s="611" t="s">
        <v>570</v>
      </c>
      <c r="AC22" s="611" t="s">
        <v>571</v>
      </c>
      <c r="AD22" s="1382" t="s">
        <v>569</v>
      </c>
      <c r="AI22" s="611" t="s">
        <v>572</v>
      </c>
      <c r="AK22" s="611" t="s">
        <v>571</v>
      </c>
      <c r="AN22" s="1652"/>
      <c r="AO22" s="1652"/>
      <c r="AP22" s="1652"/>
      <c r="AQ22" s="1652"/>
      <c r="AR22" s="1652"/>
      <c r="AS22" s="1382">
        <v>0</v>
      </c>
    </row>
    <row customHeight="1" ht="14.25" hidden="1">
      <c r="O23" s="1326"/>
      <c r="AS23" s="1647">
        <v>0</v>
      </c>
    </row>
    <row customHeight="1" ht="14.25" hidden="1">
      <c r="O24" s="1326"/>
      <c r="AS24" s="1647">
        <v>0</v>
      </c>
    </row>
    <row customHeight="1" ht="14.699999999999998">
      <c r="Q25" s="392"/>
      <c r="R25" s="392"/>
      <c r="S25" s="1291"/>
      <c r="T25" s="473"/>
      <c r="U25" s="473"/>
      <c r="V25" s="1651"/>
      <c r="W25" s="1651"/>
      <c r="X25" s="1651"/>
      <c r="Y25" s="1651"/>
      <c r="Z25" s="1651"/>
      <c r="AA25" s="1651"/>
      <c r="AB25" s="1651"/>
      <c r="AC25" s="1651"/>
      <c r="AD25" s="1651"/>
      <c r="AE25" s="1651"/>
      <c r="AF25" s="1651"/>
      <c r="AG25" s="1651"/>
      <c r="AH25" s="1651"/>
      <c r="AI25" s="1651"/>
      <c r="AJ25" s="1651"/>
      <c r="AK25" s="1651"/>
      <c r="AS25" s="1647">
        <v>14</v>
      </c>
    </row>
    <row customHeight="1" ht="14.699999999999998">
      <c r="Q26" s="392"/>
      <c r="R26" s="392"/>
      <c r="S26" s="2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4"/>
      <c r="U26" s="2264"/>
      <c r="V26" s="2264"/>
      <c r="W26" s="2264"/>
      <c r="X26" s="2264"/>
      <c r="Y26" s="2264"/>
      <c r="Z26" s="2264"/>
      <c r="AA26" s="2264"/>
      <c r="AB26" s="2264"/>
      <c r="AC26" s="2264"/>
      <c r="AD26" s="2264"/>
      <c r="AE26" s="2264"/>
      <c r="AF26" s="2264"/>
      <c r="AG26" s="2264"/>
      <c r="AH26" s="2264"/>
      <c r="AI26" s="2264"/>
      <c r="AJ26" s="2264"/>
      <c r="AK26" s="1259"/>
      <c r="AS26" s="1647">
        <v>14</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647">
        <v>14</v>
      </c>
    </row>
    <row customHeight="1" ht="14.25" hidden="1">
      <c r="Q28" s="392"/>
      <c r="R28" s="392"/>
      <c r="S28" s="1291"/>
      <c r="T28" s="473"/>
      <c r="U28" s="473"/>
      <c r="V28" s="338"/>
      <c r="W28" s="338"/>
      <c r="X28" s="338"/>
      <c r="Y28" s="338"/>
      <c r="Z28" s="338"/>
      <c r="AA28" s="338"/>
      <c r="AB28" s="338"/>
      <c r="AC28" s="338"/>
      <c r="AD28" s="338"/>
      <c r="AE28" s="338"/>
      <c r="AF28" s="338"/>
      <c r="AG28" s="338"/>
      <c r="AH28" s="338"/>
      <c r="AI28" s="338"/>
      <c r="AJ28" s="338"/>
      <c r="AK28" s="338"/>
      <c r="AL28" s="1651"/>
      <c r="AS28" s="1647">
        <v>0</v>
      </c>
    </row>
    <row s="1869" customFormat="1" customHeight="1" ht="25.5" hidden="1">
      <c r="A29" s="1264"/>
      <c r="B29" s="1264"/>
      <c r="C29" s="1264"/>
      <c r="D29" s="1264"/>
      <c r="E29" s="1264"/>
      <c r="F29" s="1264"/>
      <c r="G29" s="1264"/>
      <c r="H29" s="1264"/>
      <c r="I29" s="1264"/>
      <c r="J29" s="1264"/>
      <c r="K29" s="1264"/>
      <c r="L29" s="1396"/>
      <c r="M29" s="1264"/>
      <c r="N29" s="1264"/>
      <c r="O29" s="126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1651"/>
      <c r="AD29" s="2267" t="str">
        <f>IF(TITLE_NAME_OR_PR_CHANGE="",IF(TITLE_NAME_OR_PR="","",TITLE_NAME_OR_PR),TITLE_NAME_OR_PR_CHANGE)</f>
        <v>Агентство по тарифам Приморского края</v>
      </c>
      <c r="AE29" s="2267"/>
      <c r="AF29" s="2267"/>
      <c r="AG29" s="2267"/>
      <c r="AH29" s="2267"/>
      <c r="AI29" s="2267"/>
      <c r="AJ29" s="2267"/>
      <c r="AK29" s="1651"/>
      <c r="AL29" s="1651"/>
      <c r="AM29" s="296"/>
      <c r="AN29" s="384"/>
      <c r="AO29" s="384"/>
      <c r="AP29" s="384"/>
      <c r="AQ29" s="384"/>
      <c r="AR29" s="384"/>
      <c r="AS29" s="434">
        <v>0</v>
      </c>
    </row>
    <row s="1869" customFormat="1" customHeight="1" ht="18.75" hidden="1">
      <c r="A30" s="1264"/>
      <c r="B30" s="1264"/>
      <c r="C30" s="1264"/>
      <c r="D30" s="1264"/>
      <c r="E30" s="1264"/>
      <c r="F30" s="1264"/>
      <c r="G30" s="1264"/>
      <c r="H30" s="1264"/>
      <c r="I30" s="1264"/>
      <c r="J30" s="1264"/>
      <c r="K30" s="1264"/>
      <c r="L30" s="1396"/>
      <c r="M30" s="1264"/>
      <c r="N30" s="1264"/>
      <c r="O30" s="1264"/>
      <c r="S30" s="2266" t="s">
        <v>573</v>
      </c>
      <c r="T30" s="2266"/>
      <c r="U30" s="1388"/>
      <c r="V30" s="2280" t="str">
        <f>IF(TITLE_DATE_PR_CHANGE="",IF(TITLE_DATE_PR="","",TITLE_DATE_PR),TITLE_DATE_PR_CHANGE)</f>
        <v>45910</v>
      </c>
      <c r="W30" s="2280"/>
      <c r="X30" s="2280"/>
      <c r="Y30" s="2280"/>
      <c r="Z30" s="2280"/>
      <c r="AA30" s="2280"/>
      <c r="AB30" s="2280"/>
      <c r="AC30" s="1651"/>
      <c r="AD30" s="2280" t="str">
        <f>IF(TITLE_DATE_PR_CHANGE="",IF(TITLE_DATE_PR="","",TITLE_DATE_PR),TITLE_DATE_PR_CHANGE)</f>
        <v>45910</v>
      </c>
      <c r="AE30" s="2280"/>
      <c r="AF30" s="2280"/>
      <c r="AG30" s="2280"/>
      <c r="AH30" s="2280"/>
      <c r="AI30" s="2280"/>
      <c r="AJ30" s="2280"/>
      <c r="AK30" s="1651"/>
      <c r="AL30" s="1651"/>
      <c r="AM30" s="296"/>
      <c r="AN30" s="384"/>
      <c r="AO30" s="384"/>
      <c r="AP30" s="384"/>
      <c r="AQ30" s="384"/>
      <c r="AR30" s="384"/>
      <c r="AS30" s="434">
        <v>0</v>
      </c>
    </row>
    <row s="1869" customFormat="1" customHeight="1" ht="18.75" hidden="1">
      <c r="A31" s="1264"/>
      <c r="B31" s="1264"/>
      <c r="C31" s="1264"/>
      <c r="D31" s="1264"/>
      <c r="E31" s="1264"/>
      <c r="F31" s="1264"/>
      <c r="G31" s="1264"/>
      <c r="H31" s="1264"/>
      <c r="I31" s="1264"/>
      <c r="J31" s="1264"/>
      <c r="K31" s="1264"/>
      <c r="L31" s="1396"/>
      <c r="M31" s="1264"/>
      <c r="N31" s="1264"/>
      <c r="O31" s="1264"/>
      <c r="S31" s="2266" t="s">
        <v>574</v>
      </c>
      <c r="T31" s="2266"/>
      <c r="U31" s="1388"/>
      <c r="V31" s="2267" t="str">
        <f>IF(TITLE_NUMBER_PR_CHANGE="",IF(TITLE_NUMBER_PR="","",TITLE_NUMBER_PR),TITLE_NUMBER_PR_CHANGE)</f>
        <v>37/2</v>
      </c>
      <c r="W31" s="2267"/>
      <c r="X31" s="2267"/>
      <c r="Y31" s="2267"/>
      <c r="Z31" s="2267"/>
      <c r="AA31" s="2267"/>
      <c r="AB31" s="2267"/>
      <c r="AC31" s="1651"/>
      <c r="AD31" s="2267" t="str">
        <f>IF(TITLE_NUMBER_PR_CHANGE="",IF(TITLE_NUMBER_PR="","",TITLE_NUMBER_PR),TITLE_NUMBER_PR_CHANGE)</f>
        <v>37/2</v>
      </c>
      <c r="AE31" s="2267"/>
      <c r="AF31" s="2267"/>
      <c r="AG31" s="2267"/>
      <c r="AH31" s="2267"/>
      <c r="AI31" s="2267"/>
      <c r="AJ31" s="2267"/>
      <c r="AK31" s="1651"/>
      <c r="AL31" s="1651"/>
      <c r="AM31" s="296"/>
      <c r="AN31" s="384"/>
      <c r="AO31" s="384"/>
      <c r="AP31" s="384"/>
      <c r="AQ31" s="384"/>
      <c r="AR31" s="384"/>
      <c r="AS31" s="434">
        <v>0</v>
      </c>
    </row>
    <row s="1869" customFormat="1" customHeight="1" ht="18.75" hidden="1">
      <c r="A32" s="1264"/>
      <c r="B32" s="1264"/>
      <c r="C32" s="1264"/>
      <c r="D32" s="1264"/>
      <c r="E32" s="1264"/>
      <c r="F32" s="1264"/>
      <c r="G32" s="1264"/>
      <c r="H32" s="1264"/>
      <c r="I32" s="1264"/>
      <c r="J32" s="1264"/>
      <c r="K32" s="1264"/>
      <c r="L32" s="1396"/>
      <c r="M32" s="1264"/>
      <c r="N32" s="1264"/>
      <c r="O32" s="1264"/>
      <c r="S32" s="2266" t="s">
        <v>44</v>
      </c>
      <c r="T32" s="2266"/>
      <c r="U32" s="1388"/>
      <c r="V32" s="2267" t="str">
        <f>IF(TITLE_IST_PUB_CHANGE="",IF(TITLE_IST_PUB="","",TITLE_IST_PUB),TITLE_IST_PUB_CHANGE)</f>
        <v>http://pravo.gov.ru</v>
      </c>
      <c r="W32" s="2267"/>
      <c r="X32" s="2267"/>
      <c r="Y32" s="2267"/>
      <c r="Z32" s="2267"/>
      <c r="AA32" s="2267"/>
      <c r="AB32" s="2267"/>
      <c r="AC32" s="1651"/>
      <c r="AD32" s="2267" t="str">
        <f>IF(TITLE_IST_PUB_CHANGE="",IF(TITLE_IST_PUB="","",TITLE_IST_PUB),TITLE_IST_PUB_CHANGE)</f>
        <v>http://pravo.gov.ru</v>
      </c>
      <c r="AE32" s="2267"/>
      <c r="AF32" s="2267"/>
      <c r="AG32" s="2267"/>
      <c r="AH32" s="2267"/>
      <c r="AI32" s="2267"/>
      <c r="AJ32" s="2267"/>
      <c r="AK32" s="1651"/>
      <c r="AL32" s="1651"/>
      <c r="AM32" s="296"/>
      <c r="AN32" s="384"/>
      <c r="AO32" s="384"/>
      <c r="AP32" s="384"/>
      <c r="AQ32" s="384"/>
      <c r="AR32" s="384"/>
      <c r="AS32" s="434">
        <v>0</v>
      </c>
    </row>
    <row customHeight="1" ht="14.25" hidden="1">
      <c r="Q33" s="392"/>
      <c r="R33" s="392"/>
      <c r="S33" s="1291"/>
      <c r="T33" s="473"/>
      <c r="U33" s="473"/>
      <c r="V33" s="338"/>
      <c r="W33" s="338"/>
      <c r="X33" s="338"/>
      <c r="Y33" s="338"/>
      <c r="Z33" s="338"/>
      <c r="AA33" s="338"/>
      <c r="AB33" s="338"/>
      <c r="AC33" s="338"/>
      <c r="AD33" s="338"/>
      <c r="AE33" s="338"/>
      <c r="AF33" s="338"/>
      <c r="AG33" s="338"/>
      <c r="AH33" s="338"/>
      <c r="AI33" s="338"/>
      <c r="AJ33" s="338"/>
      <c r="AK33" s="338"/>
      <c r="AL33" s="1651"/>
      <c r="AS33" s="1647">
        <v>0</v>
      </c>
    </row>
    <row s="1869" customFormat="1" customHeight="1" ht="18.75" hidden="1">
      <c r="A34" s="1264"/>
      <c r="B34" s="1264"/>
      <c r="C34" s="1264"/>
      <c r="D34" s="1264"/>
      <c r="E34" s="1264"/>
      <c r="F34" s="1264"/>
      <c r="G34" s="1264"/>
      <c r="H34" s="1264"/>
      <c r="I34" s="1264"/>
      <c r="J34" s="1264"/>
      <c r="K34" s="1264"/>
      <c r="L34" s="1396"/>
      <c r="M34" s="1264"/>
      <c r="N34" s="1264"/>
      <c r="O34" s="1264"/>
      <c r="S34" s="2266" t="s">
        <v>575</v>
      </c>
      <c r="T34" s="2266"/>
      <c r="U34" s="1388"/>
      <c r="V34" s="2280" t="str">
        <f>IF(TITLE_DATE_PR_CHANGE="",IF(TITLE_DATE_PR="","",TITLE_DATE_PR),TITLE_DATE_PR_CHANGE)</f>
        <v>45910</v>
      </c>
      <c r="W34" s="2280"/>
      <c r="X34" s="2280"/>
      <c r="Y34" s="2280"/>
      <c r="Z34" s="2280"/>
      <c r="AA34" s="2280"/>
      <c r="AB34" s="2280"/>
      <c r="AC34" s="1651"/>
      <c r="AD34" s="2280" t="str">
        <f>IF(TITLE_DATE_PR_CHANGE="",IF(TITLE_DATE_PR="","",TITLE_DATE_PR),TITLE_DATE_PR_CHANGE)</f>
        <v>45910</v>
      </c>
      <c r="AE34" s="2280"/>
      <c r="AF34" s="2280"/>
      <c r="AG34" s="2280"/>
      <c r="AH34" s="2280"/>
      <c r="AI34" s="2280"/>
      <c r="AJ34" s="2280"/>
      <c r="AK34" s="1651"/>
      <c r="AL34" s="1651"/>
      <c r="AM34" s="296"/>
      <c r="AN34" s="384"/>
      <c r="AO34" s="384"/>
      <c r="AP34" s="384"/>
      <c r="AQ34" s="384"/>
      <c r="AR34" s="384"/>
      <c r="AS34" s="434">
        <v>0</v>
      </c>
    </row>
    <row s="1869" customFormat="1" customHeight="1" ht="18.75" hidden="1">
      <c r="A35" s="1264"/>
      <c r="B35" s="1264"/>
      <c r="C35" s="1264"/>
      <c r="D35" s="1264"/>
      <c r="E35" s="1264"/>
      <c r="F35" s="1264"/>
      <c r="G35" s="1264"/>
      <c r="H35" s="1264"/>
      <c r="I35" s="1264"/>
      <c r="J35" s="1264"/>
      <c r="K35" s="1264"/>
      <c r="L35" s="1396"/>
      <c r="M35" s="1264"/>
      <c r="N35" s="1264"/>
      <c r="O35" s="1264"/>
      <c r="S35" s="2266" t="s">
        <v>576</v>
      </c>
      <c r="T35" s="2266"/>
      <c r="U35" s="1388"/>
      <c r="V35" s="2267" t="str">
        <f>IF(TITLE_NUMBER_PR_CHANGE="",IF(TITLE_NUMBER_PR="","",TITLE_NUMBER_PR),TITLE_NUMBER_PR_CHANGE)</f>
        <v>37/2</v>
      </c>
      <c r="W35" s="2267"/>
      <c r="X35" s="2267"/>
      <c r="Y35" s="2267"/>
      <c r="Z35" s="2267"/>
      <c r="AA35" s="2267"/>
      <c r="AB35" s="2267"/>
      <c r="AC35" s="1651"/>
      <c r="AD35" s="2267" t="str">
        <f>IF(TITLE_NUMBER_PR_CHANGE="",IF(TITLE_NUMBER_PR="","",TITLE_NUMBER_PR),TITLE_NUMBER_PR_CHANGE)</f>
        <v>37/2</v>
      </c>
      <c r="AE35" s="2267"/>
      <c r="AF35" s="2267"/>
      <c r="AG35" s="2267"/>
      <c r="AH35" s="2267"/>
      <c r="AI35" s="2267"/>
      <c r="AJ35" s="2267"/>
      <c r="AK35" s="1651"/>
      <c r="AL35" s="1651"/>
      <c r="AM35" s="296"/>
      <c r="AN35" s="384"/>
      <c r="AO35" s="384"/>
      <c r="AP35" s="384"/>
      <c r="AQ35" s="384"/>
      <c r="AR35" s="384"/>
      <c r="AS35" s="434">
        <v>0</v>
      </c>
    </row>
    <row s="1869" customFormat="1" customHeight="1" ht="0">
      <c r="A36" s="1264"/>
      <c r="B36" s="1264"/>
      <c r="C36" s="1264"/>
      <c r="D36" s="1264"/>
      <c r="E36" s="1264"/>
      <c r="F36" s="1264"/>
      <c r="G36" s="1264"/>
      <c r="H36" s="1264"/>
      <c r="I36" s="1264"/>
      <c r="J36" s="1264"/>
      <c r="K36" s="1264"/>
      <c r="L36" s="1396"/>
      <c r="M36" s="1264"/>
      <c r="N36" s="1264"/>
      <c r="O36" s="1264"/>
      <c r="S36" s="1651"/>
      <c r="T36" s="1651"/>
      <c r="U36" s="1986"/>
      <c r="V36" s="1651"/>
      <c r="W36" s="1651"/>
      <c r="X36" s="1651"/>
      <c r="Y36" s="1651"/>
      <c r="Z36" s="1651"/>
      <c r="AA36" s="1651"/>
      <c r="AB36" s="1651"/>
      <c r="AC36" s="1658" t="s">
        <v>577</v>
      </c>
      <c r="AD36" s="1651"/>
      <c r="AE36" s="1651"/>
      <c r="AF36" s="1651"/>
      <c r="AG36" s="1651"/>
      <c r="AH36" s="1651"/>
      <c r="AI36" s="1651"/>
      <c r="AJ36" s="1651"/>
      <c r="AK36" s="1658" t="s">
        <v>577</v>
      </c>
      <c r="AN36" s="384"/>
      <c r="AO36" s="384"/>
      <c r="AP36" s="384"/>
      <c r="AQ36" s="384"/>
      <c r="AR36" s="384"/>
      <c r="AS36" s="434">
        <v>0</v>
      </c>
    </row>
    <row customHeight="1" ht="14.699999999999998">
      <c r="Q37" s="392"/>
      <c r="R37" s="392"/>
      <c r="S37" s="1291"/>
      <c r="T37" s="473"/>
      <c r="U37" s="1260"/>
      <c r="V37" s="2268"/>
      <c r="W37" s="2268"/>
      <c r="X37" s="2268"/>
      <c r="Y37" s="2268"/>
      <c r="Z37" s="2268"/>
      <c r="AA37" s="2268"/>
      <c r="AB37" s="2268"/>
      <c r="AC37" s="2268"/>
      <c r="AD37" s="2268"/>
      <c r="AE37" s="2268"/>
      <c r="AF37" s="2268"/>
      <c r="AG37" s="2268"/>
      <c r="AH37" s="2268"/>
      <c r="AI37" s="2268"/>
      <c r="AJ37" s="2268"/>
      <c r="AK37" s="2268"/>
      <c r="AS37" s="1647">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647">
        <v>14</v>
      </c>
    </row>
    <row customHeight="1" ht="14.699999999999998">
      <c r="Q39" s="392"/>
      <c r="R39" s="392"/>
      <c r="S39" s="2289" t="s">
        <v>91</v>
      </c>
      <c r="T39" s="2225" t="s">
        <v>578</v>
      </c>
      <c r="U39" s="353"/>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647">
        <v>14</v>
      </c>
    </row>
    <row customHeight="1" ht="35.699999999999996">
      <c r="Q40" s="392"/>
      <c r="R40" s="392"/>
      <c r="S40" s="2289"/>
      <c r="T40" s="2225"/>
      <c r="U40" s="1047"/>
      <c r="V40" s="2276" t="s">
        <v>583</v>
      </c>
      <c r="W40" s="2299" t="s">
        <v>584</v>
      </c>
      <c r="X40" s="2278" t="s">
        <v>585</v>
      </c>
      <c r="Y40" s="2279"/>
      <c r="Z40" s="2278" t="s">
        <v>598</v>
      </c>
      <c r="AA40" s="2285"/>
      <c r="AB40" s="2279"/>
      <c r="AC40" s="2294"/>
      <c r="AD40" s="2276" t="s">
        <v>583</v>
      </c>
      <c r="AE40" s="2299" t="s">
        <v>584</v>
      </c>
      <c r="AF40" s="2278" t="s">
        <v>585</v>
      </c>
      <c r="AG40" s="2279"/>
      <c r="AH40" s="2278" t="s">
        <v>586</v>
      </c>
      <c r="AI40" s="2285"/>
      <c r="AJ40" s="2279"/>
      <c r="AK40" s="2294"/>
      <c r="AL40" s="2297"/>
      <c r="AM40" s="2143"/>
      <c r="AS40" s="1647">
        <v>34</v>
      </c>
    </row>
    <row customHeight="1" ht="35.699999999999996">
      <c r="A41" s="1282"/>
      <c r="B41" s="1282" t="s">
        <v>204</v>
      </c>
      <c r="C41" s="1282" t="s">
        <v>205</v>
      </c>
      <c r="D41" s="1282" t="s">
        <v>206</v>
      </c>
      <c r="E41" s="1326" t="s">
        <v>587</v>
      </c>
      <c r="F41" s="1326" t="s">
        <v>588</v>
      </c>
      <c r="G41" s="1326" t="s">
        <v>589</v>
      </c>
      <c r="H41" s="1326" t="s">
        <v>590</v>
      </c>
      <c r="I41" s="1326" t="s">
        <v>591</v>
      </c>
      <c r="J41" s="1326" t="s">
        <v>592</v>
      </c>
      <c r="K41" s="1326" t="s">
        <v>593</v>
      </c>
      <c r="L41" s="1326" t="s">
        <v>568</v>
      </c>
      <c r="Q41" s="392"/>
      <c r="R41" s="392"/>
      <c r="S41" s="2289"/>
      <c r="T41" s="2225"/>
      <c r="U41" s="318"/>
      <c r="V41" s="2277"/>
      <c r="W41" s="2300"/>
      <c r="X41" s="1954" t="s">
        <v>594</v>
      </c>
      <c r="Y41" s="1954" t="s">
        <v>595</v>
      </c>
      <c r="Z41" s="1954" t="s">
        <v>596</v>
      </c>
      <c r="AA41" s="2286" t="s">
        <v>597</v>
      </c>
      <c r="AB41" s="2287"/>
      <c r="AC41" s="2295"/>
      <c r="AD41" s="2277"/>
      <c r="AE41" s="2300"/>
      <c r="AF41" s="1954" t="s">
        <v>594</v>
      </c>
      <c r="AG41" s="1954" t="s">
        <v>595</v>
      </c>
      <c r="AH41" s="1954" t="s">
        <v>596</v>
      </c>
      <c r="AI41" s="2286" t="s">
        <v>597</v>
      </c>
      <c r="AJ41" s="2287"/>
      <c r="AK41" s="2295"/>
      <c r="AL41" s="2298"/>
      <c r="AM41" s="2143"/>
      <c r="AS41" s="1647">
        <v>34</v>
      </c>
    </row>
    <row s="1657" customFormat="1" customHeight="1" ht="11.25" hidden="1">
      <c r="A42" s="1282"/>
      <c r="B42" s="1282"/>
      <c r="C42" s="1282"/>
      <c r="D42" s="1282"/>
      <c r="E42" s="1282"/>
      <c r="F42" s="1282"/>
      <c r="G42" s="1282"/>
      <c r="H42" s="1282"/>
      <c r="I42" s="1282"/>
      <c r="J42" s="1282"/>
      <c r="K42" s="1282"/>
      <c r="L42" s="1326"/>
      <c r="M42" s="1981"/>
      <c r="N42" s="1981"/>
      <c r="O42" s="1981"/>
      <c r="P42" s="1262"/>
      <c r="Q42" s="1263"/>
      <c r="R42" s="1270">
        <v>1</v>
      </c>
      <c r="S42" s="1293" t="s">
        <v>141</v>
      </c>
      <c r="T42" s="1271" t="s">
        <v>107</v>
      </c>
      <c r="U42" s="1261" t="str">
        <f>OFFSET(U42,0,-1)</f>
        <v>2</v>
      </c>
      <c r="V42" s="1972">
        <f>OFFSET(V42,0,-1)+1</f>
        <v>3</v>
      </c>
      <c r="W42" s="1972"/>
      <c r="X42" s="1972">
        <f>OFFSET(X42,0,-1)+1</f>
        <v>1</v>
      </c>
      <c r="Y42" s="1972">
        <f>OFFSET(Y42,0,-1)+1</f>
        <v>2</v>
      </c>
      <c r="Z42" s="1972">
        <f>OFFSET(Z42,0,-1)+1</f>
        <v>3</v>
      </c>
      <c r="AA42" s="2288">
        <f>OFFSET(AA42,0,-1)+1</f>
        <v>4</v>
      </c>
      <c r="AB42" s="2288"/>
      <c r="AC42" s="1972">
        <f>OFFSET(AC42,0,-2)+1</f>
        <v>5</v>
      </c>
      <c r="AD42" s="1972">
        <f>OFFSET(AD42,0,-1)+1</f>
        <v>6</v>
      </c>
      <c r="AE42" s="1972"/>
      <c r="AF42" s="1972">
        <f>OFFSET(AF42,0,-1)+1</f>
        <v>1</v>
      </c>
      <c r="AG42" s="1972">
        <f>OFFSET(AG42,0,-1)+1</f>
        <v>2</v>
      </c>
      <c r="AH42" s="1972">
        <f>OFFSET(AH42,0,-1)+1</f>
        <v>3</v>
      </c>
      <c r="AI42" s="2288">
        <f>OFFSET(AI42,0,-1)+1</f>
        <v>4</v>
      </c>
      <c r="AJ42" s="2288"/>
      <c r="AK42" s="1972">
        <f>OFFSET(AK42,0,-2)+1</f>
        <v>5</v>
      </c>
      <c r="AL42" s="1261">
        <f>OFFSET(AL42,0,-1)</f>
        <v>5</v>
      </c>
      <c r="AM42" s="1972">
        <f>OFFSET(AM42,0,-1)+1</f>
        <v>6</v>
      </c>
      <c r="AN42" s="1652"/>
      <c r="AO42" s="1652"/>
      <c r="AP42" s="1652"/>
      <c r="AQ42" s="1652"/>
      <c r="AR42" s="1652"/>
      <c r="AS42" s="1657">
        <v>0</v>
      </c>
    </row>
    <row customHeight="1" ht="22.049999999999997">
      <c r="A43" s="1283" t="s">
        <v>365</v>
      </c>
      <c r="B43" s="1283"/>
      <c r="C43" s="1283"/>
      <c r="D43" s="1283"/>
      <c r="E43" s="2305">
        <v>1</v>
      </c>
      <c r="F43" s="1283"/>
      <c r="G43" s="1283"/>
      <c r="H43" s="1283"/>
      <c r="I43" s="1283"/>
      <c r="J43" s="1283"/>
      <c r="K43" s="1283"/>
      <c r="L43" s="1326"/>
      <c r="M43" s="1626"/>
      <c r="N43" s="1626"/>
      <c r="O43" s="1626"/>
      <c r="P43" s="1606"/>
      <c r="Q43" s="376"/>
      <c r="R43" s="371"/>
      <c r="S43" s="1974">
        <f>INDEX(PT_DIFFERENTIATION_NUM_NTAR,MATCH(A43,PT_DIFFERENTIATION_NTAR_ID,0))</f>
        <v>0</v>
      </c>
      <c r="T43" s="1541"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40"/>
      <c r="AP43" s="1640" t="str">
        <f>IF(T43="","",T43)</f>
        <v>Наименование тарифа</v>
      </c>
      <c r="AQ43" s="1640"/>
      <c r="AR43" s="1640"/>
      <c r="AS43" s="1647">
        <v>21</v>
      </c>
    </row>
    <row customHeight="1" ht="22.049999999999997">
      <c r="A44" s="1283" t="s">
        <v>365</v>
      </c>
      <c r="B44" s="1283" t="s">
        <v>366</v>
      </c>
      <c r="C44" s="1283"/>
      <c r="D44" s="1283"/>
      <c r="E44" s="2306"/>
      <c r="F44" s="2305">
        <v>1</v>
      </c>
      <c r="G44" s="1283"/>
      <c r="H44" s="1283"/>
      <c r="I44" s="1283"/>
      <c r="J44" s="1283"/>
      <c r="K44" s="1283"/>
      <c r="L44" s="1326"/>
      <c r="M44" s="1626"/>
      <c r="N44" s="1626"/>
      <c r="O44" s="1626"/>
      <c r="P44" s="1956"/>
      <c r="Q44" s="368"/>
      <c r="R44" s="369"/>
      <c r="S44" s="1974" t="str">
        <f>INDEX(PT_DIFFERENTIATION_NUM_TER,MATCH(B44,PT_DIFFERENTIATION_TER_ID,0))</f>
        <v>.</v>
      </c>
      <c r="T44" s="1538"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1640"/>
      <c r="AP44" s="1640" t="str">
        <f>IF(T44="","",T44)</f>
        <v>Территория действия тарифа</v>
      </c>
      <c r="AQ44" s="1640"/>
      <c r="AR44" s="1640"/>
      <c r="AS44" s="1647">
        <v>21</v>
      </c>
    </row>
    <row customHeight="1" ht="24">
      <c r="A45" s="1283" t="s">
        <v>365</v>
      </c>
      <c r="B45" s="1283" t="s">
        <v>366</v>
      </c>
      <c r="C45" s="1283" t="s">
        <v>367</v>
      </c>
      <c r="D45" s="1283"/>
      <c r="E45" s="2306"/>
      <c r="F45" s="2306"/>
      <c r="G45" s="2305">
        <v>1</v>
      </c>
      <c r="H45" s="1283"/>
      <c r="I45" s="1283"/>
      <c r="J45" s="1283"/>
      <c r="K45" s="1283"/>
      <c r="L45" s="1326"/>
      <c r="M45" s="1626"/>
      <c r="N45" s="1626"/>
      <c r="O45" s="1626"/>
      <c r="P45" s="370"/>
      <c r="Q45" s="368"/>
      <c r="R45" s="369"/>
      <c r="S45" s="1974"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1640"/>
      <c r="AP45" s="1640" t="str">
        <f>IF(T45="","",T45)</f>
        <v>Наименование системы теплоснабжения </v>
      </c>
      <c r="AQ45" s="1640"/>
      <c r="AR45" s="1640"/>
      <c r="AS45" s="1647">
        <v>23</v>
      </c>
    </row>
    <row customHeight="1" ht="22.049999999999997">
      <c r="A46" s="1283" t="s">
        <v>365</v>
      </c>
      <c r="B46" s="1283" t="s">
        <v>366</v>
      </c>
      <c r="C46" s="1283" t="s">
        <v>367</v>
      </c>
      <c r="D46" s="1283" t="s">
        <v>368</v>
      </c>
      <c r="E46" s="2306"/>
      <c r="F46" s="2306"/>
      <c r="G46" s="2306"/>
      <c r="H46" s="2305">
        <v>1</v>
      </c>
      <c r="I46" s="1283"/>
      <c r="J46" s="1283"/>
      <c r="K46" s="1283"/>
      <c r="L46" s="1326"/>
      <c r="M46" s="1626"/>
      <c r="N46" s="1626"/>
      <c r="O46" s="1626"/>
      <c r="P46" s="370"/>
      <c r="Q46" s="368"/>
      <c r="R46" s="369"/>
      <c r="S46" s="1974"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1640"/>
      <c r="AP46" s="1640" t="str">
        <f>IF(T46="","",T46)</f>
        <v>Источник тепловой энергии  </v>
      </c>
      <c r="AQ46" s="1640"/>
      <c r="AR46" s="1640"/>
      <c r="AS46" s="1647">
        <v>21</v>
      </c>
    </row>
    <row customHeight="1" ht="49.5">
      <c r="A47" s="1283" t="s">
        <v>365</v>
      </c>
      <c r="B47" s="1283" t="s">
        <v>366</v>
      </c>
      <c r="C47" s="1283" t="s">
        <v>367</v>
      </c>
      <c r="D47" s="1283" t="s">
        <v>368</v>
      </c>
      <c r="E47" s="2306"/>
      <c r="F47" s="2306"/>
      <c r="G47" s="2306"/>
      <c r="H47" s="2306"/>
      <c r="I47" s="2143" t="str">
        <f>S46&amp;".1"</f>
        <v>....1</v>
      </c>
      <c r="J47" s="1283"/>
      <c r="K47" s="1283"/>
      <c r="L47" s="1326" t="s">
        <v>556</v>
      </c>
      <c r="P47" s="2273">
        <v>1</v>
      </c>
      <c r="Q47" s="1970"/>
      <c r="R47" s="372"/>
      <c r="S47" s="1974" t="str">
        <f>$I47</f>
        <v>....1</v>
      </c>
      <c r="T47" s="301" t="s">
        <v>557</v>
      </c>
      <c r="U47" s="316"/>
      <c r="V47" s="2261"/>
      <c r="W47" s="2262"/>
      <c r="X47" s="2262"/>
      <c r="Y47" s="2262"/>
      <c r="Z47" s="2262"/>
      <c r="AA47" s="2262"/>
      <c r="AB47" s="2262"/>
      <c r="AC47" s="2263"/>
      <c r="AD47" s="2261"/>
      <c r="AE47" s="2262"/>
      <c r="AF47" s="2262"/>
      <c r="AG47" s="2262"/>
      <c r="AH47" s="2262"/>
      <c r="AI47" s="2262"/>
      <c r="AJ47" s="2262"/>
      <c r="AK47" s="2262"/>
      <c r="AL47" s="2263"/>
      <c r="AM47" s="1274" t="s">
        <v>558</v>
      </c>
      <c r="AO47" s="1640"/>
      <c r="AP47" s="1640" t="str">
        <f>IF(T47="","",T47)</f>
        <v>Схема подключения теплопотребляющей установки к коллектору источника тепловой энергии</v>
      </c>
      <c r="AQ47" s="1640"/>
      <c r="AR47" s="1640"/>
      <c r="AS47" s="1647">
        <v>47</v>
      </c>
    </row>
    <row customHeight="1" ht="22.049999999999997">
      <c r="A48" s="1283" t="s">
        <v>365</v>
      </c>
      <c r="B48" s="1283" t="s">
        <v>366</v>
      </c>
      <c r="C48" s="1283" t="s">
        <v>367</v>
      </c>
      <c r="D48" s="1283" t="s">
        <v>368</v>
      </c>
      <c r="E48" s="2306"/>
      <c r="F48" s="2306"/>
      <c r="G48" s="2306"/>
      <c r="H48" s="2306"/>
      <c r="I48" s="2117"/>
      <c r="J48" s="2143" t="str">
        <f>I47&amp;".1"</f>
        <v>....1.1</v>
      </c>
      <c r="K48" s="1283"/>
      <c r="L48" s="1326" t="s">
        <v>559</v>
      </c>
      <c r="P48" s="2273"/>
      <c r="Q48" s="2273">
        <v>1</v>
      </c>
      <c r="R48" s="373"/>
      <c r="S48" s="1974" t="str">
        <f>$J48</f>
        <v>....1.1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1640"/>
      <c r="AP48" s="1640" t="str">
        <f>IF(T48="","",T48)</f>
        <v>Группа потребителей</v>
      </c>
      <c r="AQ48" s="1640"/>
      <c r="AR48" s="1640"/>
      <c r="AS48" s="1647">
        <v>21</v>
      </c>
    </row>
    <row customHeight="1" ht="22.049999999999997">
      <c r="A49" s="1283" t="s">
        <v>365</v>
      </c>
      <c r="B49" s="1283" t="s">
        <v>366</v>
      </c>
      <c r="C49" s="1283" t="s">
        <v>367</v>
      </c>
      <c r="D49" s="1283" t="s">
        <v>368</v>
      </c>
      <c r="E49" s="2306"/>
      <c r="F49" s="2306"/>
      <c r="G49" s="2306"/>
      <c r="H49" s="2306"/>
      <c r="I49" s="2117"/>
      <c r="J49" s="2117"/>
      <c r="K49" s="2143" t="str">
        <f>J48&amp;".1"</f>
        <v>....1.1.1</v>
      </c>
      <c r="L49" s="1326" t="s">
        <v>562</v>
      </c>
      <c r="P49" s="2273"/>
      <c r="Q49" s="2273"/>
      <c r="R49" s="373">
        <v>1</v>
      </c>
      <c r="S49" s="1974" t="str">
        <f>$K49</f>
        <v>....1.1.1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563</v>
      </c>
      <c r="AN49" s="1652">
        <f>STRCHECKDATE(V50:AL50)</f>
      </c>
      <c r="AO49" s="1640"/>
      <c r="AP49" s="1640" t="str">
        <f>IF(T49="","",T49)</f>
        <v/>
      </c>
      <c r="AQ49" s="1640"/>
      <c r="AR49" s="1640"/>
      <c r="AS49" s="1647">
        <v>21</v>
      </c>
    </row>
    <row customHeight="1" ht="1.05">
      <c r="A50" s="1283" t="s">
        <v>365</v>
      </c>
      <c r="B50" s="1283" t="s">
        <v>366</v>
      </c>
      <c r="C50" s="1283" t="s">
        <v>367</v>
      </c>
      <c r="D50" s="1283" t="s">
        <v>368</v>
      </c>
      <c r="E50" s="2306"/>
      <c r="F50" s="2306"/>
      <c r="G50" s="2306"/>
      <c r="H50" s="2306"/>
      <c r="I50" s="2117"/>
      <c r="J50" s="2117"/>
      <c r="K50" s="2143"/>
      <c r="L50" s="1326"/>
      <c r="P50" s="2273"/>
      <c r="Q50" s="2273"/>
      <c r="R50" s="373"/>
      <c r="S50" s="1983"/>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1640"/>
      <c r="AP50" s="1640" t="str">
        <f>IF(T50="","",T50)</f>
        <v/>
      </c>
      <c r="AQ50" s="1640"/>
      <c r="AR50" s="1640"/>
      <c r="AS50" s="1647">
        <v>1</v>
      </c>
    </row>
    <row customHeight="1" ht="11.549999999999999">
      <c r="A51" s="1283" t="s">
        <v>365</v>
      </c>
      <c r="B51" s="1283" t="s">
        <v>366</v>
      </c>
      <c r="C51" s="1283" t="s">
        <v>367</v>
      </c>
      <c r="D51" s="1283" t="s">
        <v>368</v>
      </c>
      <c r="E51" s="2306"/>
      <c r="F51" s="2306"/>
      <c r="G51" s="2306"/>
      <c r="H51" s="2306"/>
      <c r="I51" s="2117"/>
      <c r="J51" s="2143"/>
      <c r="K51" s="1283"/>
      <c r="L51" s="1326"/>
      <c r="P51" s="2273"/>
      <c r="Q51" s="2273"/>
      <c r="R51" s="372"/>
      <c r="S51" s="1294"/>
      <c r="T51" s="304" t="s">
        <v>564</v>
      </c>
      <c r="U51" s="616"/>
      <c r="V51" s="616"/>
      <c r="W51" s="616"/>
      <c r="X51" s="616"/>
      <c r="Y51" s="616"/>
      <c r="Z51" s="616"/>
      <c r="AA51" s="616"/>
      <c r="AB51" s="616"/>
      <c r="AC51" s="616"/>
      <c r="AD51" s="616"/>
      <c r="AE51" s="616"/>
      <c r="AF51" s="616"/>
      <c r="AG51" s="616"/>
      <c r="AH51" s="616"/>
      <c r="AI51" s="616"/>
      <c r="AJ51" s="616"/>
      <c r="AK51" s="616"/>
      <c r="AL51" s="340"/>
      <c r="AM51" s="2271"/>
      <c r="AO51" s="1640"/>
      <c r="AP51" s="1640" t="str">
        <f>IF(T51="","",T51)</f>
        <v>Добавить вид теплоносителя (параметры теплоносителя)</v>
      </c>
      <c r="AQ51" s="1640"/>
      <c r="AR51" s="1640"/>
      <c r="AS51" s="1647">
        <v>11</v>
      </c>
    </row>
    <row customHeight="1" ht="11.549999999999999">
      <c r="A52" s="1283" t="s">
        <v>365</v>
      </c>
      <c r="B52" s="1283" t="s">
        <v>366</v>
      </c>
      <c r="C52" s="1283" t="s">
        <v>367</v>
      </c>
      <c r="D52" s="1283" t="s">
        <v>368</v>
      </c>
      <c r="E52" s="2306"/>
      <c r="F52" s="2306"/>
      <c r="G52" s="2306"/>
      <c r="H52" s="2306"/>
      <c r="I52" s="2143"/>
      <c r="J52" s="1283"/>
      <c r="K52" s="1283"/>
      <c r="L52" s="1326"/>
      <c r="P52" s="2273"/>
      <c r="Q52" s="1970"/>
      <c r="R52" s="372"/>
      <c r="S52" s="1294"/>
      <c r="T52" s="303" t="s">
        <v>565</v>
      </c>
      <c r="U52" s="616"/>
      <c r="V52" s="616"/>
      <c r="W52" s="616"/>
      <c r="X52" s="616"/>
      <c r="Y52" s="616"/>
      <c r="Z52" s="616"/>
      <c r="AA52" s="616"/>
      <c r="AB52" s="616"/>
      <c r="AC52" s="382"/>
      <c r="AD52" s="616"/>
      <c r="AE52" s="616"/>
      <c r="AF52" s="616"/>
      <c r="AG52" s="616"/>
      <c r="AH52" s="616"/>
      <c r="AI52" s="616"/>
      <c r="AJ52" s="616"/>
      <c r="AK52" s="382"/>
      <c r="AL52" s="616"/>
      <c r="AM52" s="319"/>
      <c r="AO52" s="1640"/>
      <c r="AP52" s="1640" t="str">
        <f>IF(T52="","",T52)</f>
        <v>Добавить группу потребителей</v>
      </c>
      <c r="AQ52" s="1640"/>
      <c r="AR52" s="1640"/>
      <c r="AS52" s="1647">
        <v>11</v>
      </c>
    </row>
    <row customHeight="1" ht="14.699999999999998">
      <c r="A53" s="1283" t="s">
        <v>365</v>
      </c>
      <c r="B53" s="1283" t="s">
        <v>366</v>
      </c>
      <c r="C53" s="1283" t="s">
        <v>367</v>
      </c>
      <c r="D53" s="1283" t="s">
        <v>368</v>
      </c>
      <c r="E53" s="2306"/>
      <c r="F53" s="2306"/>
      <c r="G53" s="2306"/>
      <c r="H53" s="2305"/>
      <c r="I53" s="1283"/>
      <c r="J53" s="1283"/>
      <c r="K53" s="1283"/>
      <c r="L53" s="1326"/>
      <c r="M53" s="1626"/>
      <c r="N53" s="1626"/>
      <c r="O53" s="1651"/>
      <c r="P53" s="376"/>
      <c r="Q53" s="391"/>
      <c r="R53" s="371"/>
      <c r="S53" s="1294"/>
      <c r="T53" s="381" t="s">
        <v>566</v>
      </c>
      <c r="U53" s="616"/>
      <c r="V53" s="616"/>
      <c r="W53" s="616"/>
      <c r="X53" s="616"/>
      <c r="Y53" s="616"/>
      <c r="Z53" s="616"/>
      <c r="AA53" s="616"/>
      <c r="AB53" s="616"/>
      <c r="AC53" s="382"/>
      <c r="AD53" s="616"/>
      <c r="AE53" s="616"/>
      <c r="AF53" s="616"/>
      <c r="AG53" s="616"/>
      <c r="AH53" s="616"/>
      <c r="AI53" s="616"/>
      <c r="AJ53" s="616"/>
      <c r="AK53" s="382"/>
      <c r="AL53" s="616"/>
      <c r="AM53" s="319"/>
      <c r="AO53" s="1640"/>
      <c r="AP53" s="1640" t="str">
        <f>IF(T53="","",T53)</f>
        <v>Добавить схему подключения</v>
      </c>
      <c r="AQ53" s="1640"/>
      <c r="AR53" s="1640"/>
      <c r="AS53" s="1647">
        <v>14</v>
      </c>
    </row>
    <row s="1658" customFormat="1" customHeight="1" ht="1.05">
      <c r="A54" s="1283" t="s">
        <v>365</v>
      </c>
      <c r="B54" s="1283" t="s">
        <v>366</v>
      </c>
      <c r="C54" s="1283" t="s">
        <v>367</v>
      </c>
      <c r="D54" s="1990"/>
      <c r="E54" s="2306"/>
      <c r="F54" s="2306"/>
      <c r="G54" s="2305"/>
      <c r="H54" s="1990"/>
      <c r="I54" s="1990"/>
      <c r="J54" s="1990"/>
      <c r="K54" s="1990"/>
      <c r="L54" s="1396"/>
      <c r="M54" s="1626"/>
      <c r="N54" s="1626"/>
      <c r="O54" s="165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1267"/>
      <c r="AP54" s="1267" t="str">
        <f>IF(T54="","",T54)</f>
        <v>Добавить источник для дифференциации</v>
      </c>
      <c r="AQ54" s="1267"/>
      <c r="AR54" s="1267"/>
      <c r="AS54" s="1658">
        <v>1</v>
      </c>
    </row>
    <row s="1658" customFormat="1" customHeight="1" ht="1.05">
      <c r="A55" s="1283" t="s">
        <v>365</v>
      </c>
      <c r="B55" s="1283" t="s">
        <v>366</v>
      </c>
      <c r="C55" s="1990"/>
      <c r="D55" s="1990"/>
      <c r="E55" s="2306"/>
      <c r="F55" s="2305"/>
      <c r="G55" s="1990"/>
      <c r="H55" s="1990"/>
      <c r="I55" s="1990"/>
      <c r="J55" s="1990"/>
      <c r="K55" s="1990"/>
      <c r="L55" s="1396"/>
      <c r="M55" s="1991"/>
      <c r="N55" s="1991"/>
      <c r="O55" s="1651"/>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1267"/>
      <c r="AP55" s="1267" t="str">
        <f>IF(T55="","",T55)</f>
        <v>Добавить централизованную систему для дифференциации</v>
      </c>
      <c r="AQ55" s="1267"/>
      <c r="AR55" s="1267"/>
      <c r="AS55" s="1658">
        <v>1</v>
      </c>
    </row>
    <row s="1658" customFormat="1" customHeight="1" ht="1.05">
      <c r="A56" s="1283" t="s">
        <v>365</v>
      </c>
      <c r="B56" s="1283"/>
      <c r="C56" s="1283"/>
      <c r="D56" s="1283"/>
      <c r="E56" s="2305"/>
      <c r="F56" s="1283"/>
      <c r="G56" s="1283"/>
      <c r="H56" s="1283"/>
      <c r="I56" s="1283"/>
      <c r="J56" s="1283"/>
      <c r="K56" s="1283"/>
      <c r="L56" s="1326"/>
      <c r="M56" s="1991"/>
      <c r="N56" s="1991"/>
      <c r="O56" s="1651"/>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1640"/>
      <c r="AP56" s="1640" t="str">
        <f>IF(T56="","",T56)</f>
        <v>Добавить территорию для дифференциации</v>
      </c>
      <c r="AQ56" s="1640"/>
      <c r="AR56" s="1640"/>
      <c r="AS56" s="1652">
        <v>1</v>
      </c>
    </row>
    <row s="1658" customFormat="1" customHeight="1" ht="1.05">
      <c r="A57" s="1990"/>
      <c r="B57" s="1990"/>
      <c r="C57" s="1990"/>
      <c r="D57" s="1990"/>
      <c r="E57" s="1283"/>
      <c r="F57" s="1990"/>
      <c r="G57" s="1990"/>
      <c r="H57" s="1990"/>
      <c r="I57" s="1990"/>
      <c r="J57" s="1990"/>
      <c r="K57" s="1990"/>
      <c r="L57" s="1396"/>
      <c r="M57" s="1991"/>
      <c r="N57" s="1991"/>
      <c r="O57" s="1651"/>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1267"/>
      <c r="AP57" s="1267" t="str">
        <f>IF(T57="","",T57)</f>
        <v>Добавить наименование тарифа</v>
      </c>
      <c r="AQ57" s="1267"/>
      <c r="AR57" s="1267"/>
      <c r="AS57" s="1658">
        <v>1</v>
      </c>
    </row>
    <row customHeight="1" ht="11.549999999999999">
      <c r="M58" s="1647"/>
      <c r="N58" s="1647"/>
      <c r="O58" s="1651"/>
      <c r="P58" s="1647"/>
      <c r="Q58" s="1647"/>
      <c r="R58" s="1647"/>
      <c r="S58" s="1647"/>
      <c r="AN58" s="1647"/>
      <c r="AO58" s="1647"/>
      <c r="AP58" s="1647"/>
      <c r="AQ58" s="1647"/>
      <c r="AR58" s="1647"/>
      <c r="AS58" s="1647">
        <v>11</v>
      </c>
    </row>
    <row customHeight="1" ht="28.5">
      <c r="O59" s="1651"/>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47">
        <v>27</v>
      </c>
    </row>
    <row customHeight="1" ht="65.25">
      <c r="O60" s="1651"/>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47">
        <v>62</v>
      </c>
    </row>
    <row customHeight="1" ht="14.699999999999998">
      <c r="O61" s="1651"/>
      <c r="AS61" s="1647">
        <v>14</v>
      </c>
    </row>
    <row customHeight="1" ht="18.75">
      <c r="O62" s="1651"/>
      <c r="S62" s="1269"/>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47">
        <v>18</v>
      </c>
    </row>
    <row customHeight="1" ht="18.75">
      <c r="O63" s="165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47">
        <v>18</v>
      </c>
    </row>
    <row customHeight="1" ht="29.25">
      <c r="O64" s="1651"/>
      <c r="S64" s="1269"/>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47">
        <v>28</v>
      </c>
    </row>
    <row customHeight="1" ht="22.5" hidden="1">
      <c r="A65" s="1647" t="s">
        <v>85</v>
      </c>
      <c r="B65" s="1647">
        <v>0</v>
      </c>
      <c r="C65" s="1647">
        <v>0</v>
      </c>
      <c r="D65" s="1647">
        <v>0</v>
      </c>
      <c r="E65" s="1647">
        <v>0</v>
      </c>
      <c r="F65" s="1647">
        <v>0</v>
      </c>
      <c r="G65" s="1647">
        <v>0</v>
      </c>
      <c r="H65" s="1647">
        <v>0</v>
      </c>
      <c r="I65" s="1647">
        <v>0</v>
      </c>
      <c r="J65" s="1647">
        <v>0</v>
      </c>
      <c r="K65" s="1647">
        <v>0</v>
      </c>
      <c r="L65" s="1955">
        <v>0</v>
      </c>
      <c r="M65" s="1981">
        <v>0</v>
      </c>
      <c r="N65" s="1981">
        <v>0</v>
      </c>
      <c r="O65" s="1981">
        <v>0</v>
      </c>
      <c r="P65" s="1981">
        <v>3</v>
      </c>
      <c r="Q65" s="360">
        <v>3</v>
      </c>
      <c r="R65" s="360">
        <v>3</v>
      </c>
      <c r="S65" s="597">
        <v>12</v>
      </c>
      <c r="T65" s="1647">
        <v>31</v>
      </c>
      <c r="U65" s="1647">
        <v>0</v>
      </c>
      <c r="V65" s="1647">
        <v>0</v>
      </c>
      <c r="W65" s="1647">
        <v>0</v>
      </c>
      <c r="X65" s="1647">
        <v>0</v>
      </c>
      <c r="Y65" s="1647">
        <v>0</v>
      </c>
      <c r="Z65" s="1647">
        <v>0</v>
      </c>
      <c r="AA65" s="1647">
        <v>0</v>
      </c>
      <c r="AB65" s="1647">
        <v>0</v>
      </c>
      <c r="AC65" s="1647">
        <v>0</v>
      </c>
      <c r="AD65" s="1647">
        <v>24</v>
      </c>
      <c r="AE65" s="1647">
        <v>0</v>
      </c>
      <c r="AF65" s="1647">
        <v>24</v>
      </c>
      <c r="AG65" s="1647">
        <v>24</v>
      </c>
      <c r="AH65" s="1647">
        <v>11</v>
      </c>
      <c r="AI65" s="1647">
        <v>3</v>
      </c>
      <c r="AJ65" s="1647">
        <v>11</v>
      </c>
      <c r="AK65" s="1647">
        <v>0</v>
      </c>
      <c r="AL65" s="1647">
        <v>4</v>
      </c>
      <c r="AM65" s="1647">
        <v>115</v>
      </c>
      <c r="AN65" s="1652">
        <v>10</v>
      </c>
      <c r="AO65" s="1652">
        <v>10</v>
      </c>
      <c r="AP65" s="1652">
        <v>10</v>
      </c>
      <c r="AQ65" s="1652">
        <v>10</v>
      </c>
      <c r="AR65" s="1652">
        <v>10</v>
      </c>
      <c r="AS65" s="164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2BAF9-D352-7B07-0CD5-897033DD2D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1.00390625" customWidth="1"/>
    <col min="21" max="21" style="1651" width="0.7109375" hidden="1" customWidth="1"/>
    <col min="22" max="22" style="1651" width="1.7109375" hidden="1" customWidth="1"/>
    <col min="23" max="23" style="1651" width="24.7109375" hidden="1" customWidth="1"/>
    <col min="24" max="25" style="1651" width="0.14062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0.140625" customWidth="1"/>
    <col min="31" max="31" style="1651" width="24.00390625" customWidth="1"/>
    <col min="32" max="33" style="1651" width="0.14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Y1" s="343"/>
      <c r="Z1" s="343"/>
      <c r="AG1" s="343"/>
      <c r="AH1" s="343"/>
      <c r="AS1" s="1171" t="s">
        <v>14</v>
      </c>
    </row>
    <row customHeight="1" ht="21" hidden="1">
      <c r="A2" s="1379"/>
      <c r="B2" s="1379"/>
      <c r="C2" s="1379"/>
      <c r="D2" s="1379"/>
      <c r="E2" s="2274">
        <v>1</v>
      </c>
      <c r="F2" s="1379"/>
      <c r="G2" s="1379"/>
      <c r="H2" s="1379"/>
      <c r="I2" s="1379"/>
      <c r="J2" s="1379"/>
      <c r="K2" s="1379"/>
      <c r="L2" s="1380"/>
      <c r="M2" s="1381"/>
      <c r="N2" s="1381"/>
      <c r="O2" s="1381"/>
      <c r="P2" s="377"/>
      <c r="Q2" s="376"/>
      <c r="R2" s="371"/>
      <c r="S2" s="1352">
        <f>INDEX(PT_DIFFERENTIATION_NUM_NTAR,MATCH(A2,PT_DIFFERENTIATION_NTAR_ID,0))</f>
      </c>
      <c r="T2" s="314"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516"/>
      <c r="AP2" s="516" t="str">
        <f>IF(T2="","",T2)</f>
        <v>Наименование тарифа</v>
      </c>
      <c r="AQ2" s="516"/>
      <c r="AR2" s="516"/>
      <c r="AS2" s="1171">
        <v>0</v>
      </c>
    </row>
    <row customHeight="1" ht="21" hidden="1">
      <c r="A3" s="1379"/>
      <c r="B3" s="1379"/>
      <c r="C3" s="1379"/>
      <c r="D3" s="1379"/>
      <c r="E3" s="2275"/>
      <c r="F3" s="2274">
        <v>1</v>
      </c>
      <c r="G3" s="1379"/>
      <c r="H3" s="1379"/>
      <c r="I3" s="1379"/>
      <c r="J3" s="1379"/>
      <c r="K3" s="1379"/>
      <c r="L3" s="1380"/>
      <c r="M3" s="1381"/>
      <c r="N3" s="1381"/>
      <c r="O3" s="1381"/>
      <c r="P3" s="1348"/>
      <c r="Q3" s="368"/>
      <c r="R3" s="369"/>
      <c r="S3" s="1352">
        <f>INDEX(PT_DIFFERENTIATION_NUM_TER,MATCH(B3,PT_DIFFERENTIATION_TER_ID,0))</f>
      </c>
      <c r="T3" s="324"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516"/>
      <c r="AP3" s="516" t="str">
        <f>IF(T3="","",T3)</f>
        <v>Территория действия тарифа</v>
      </c>
      <c r="AQ3" s="516"/>
      <c r="AR3" s="516"/>
      <c r="AS3" s="1171">
        <v>0</v>
      </c>
    </row>
    <row customHeight="1" ht="23.25" hidden="1">
      <c r="A4" s="1379"/>
      <c r="B4" s="1379"/>
      <c r="C4" s="1379"/>
      <c r="D4" s="1379"/>
      <c r="E4" s="2275"/>
      <c r="F4" s="2275"/>
      <c r="G4" s="2274">
        <v>1</v>
      </c>
      <c r="H4" s="1379"/>
      <c r="I4" s="1379"/>
      <c r="J4" s="1379"/>
      <c r="K4" s="1379"/>
      <c r="L4" s="1380"/>
      <c r="M4" s="1381"/>
      <c r="N4" s="1381"/>
      <c r="O4" s="1381"/>
      <c r="P4" s="370"/>
      <c r="Q4" s="368"/>
      <c r="R4" s="369"/>
      <c r="S4" s="1352">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516"/>
      <c r="AP4" s="516" t="str">
        <f>IF(T4="","",T4)</f>
        <v>Наименование системы теплоснабжения </v>
      </c>
      <c r="AQ4" s="516"/>
      <c r="AR4" s="516"/>
      <c r="AS4" s="1171">
        <v>0</v>
      </c>
    </row>
    <row customHeight="1" ht="21" hidden="1">
      <c r="A5" s="1379"/>
      <c r="B5" s="1379"/>
      <c r="C5" s="1379"/>
      <c r="D5" s="1379"/>
      <c r="E5" s="2275"/>
      <c r="F5" s="2275"/>
      <c r="G5" s="2275"/>
      <c r="H5" s="2274">
        <v>1</v>
      </c>
      <c r="I5" s="1379"/>
      <c r="J5" s="1379"/>
      <c r="K5" s="1379"/>
      <c r="L5" s="1380"/>
      <c r="M5" s="1381"/>
      <c r="N5" s="1381"/>
      <c r="O5" s="1381"/>
      <c r="P5" s="370"/>
      <c r="Q5" s="368"/>
      <c r="R5" s="369"/>
      <c r="S5" s="1352">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516"/>
      <c r="AP5" s="516" t="str">
        <f>IF(T5="","",T5)</f>
        <v>Источник тепловой энергии  </v>
      </c>
      <c r="AQ5" s="516"/>
      <c r="AR5" s="516"/>
      <c r="AS5" s="1171">
        <v>0</v>
      </c>
    </row>
    <row customHeight="1" ht="47.25" hidden="1">
      <c r="A6" s="1379"/>
      <c r="B6" s="1379"/>
      <c r="C6" s="1379"/>
      <c r="D6" s="1379"/>
      <c r="E6" s="2275"/>
      <c r="F6" s="2275"/>
      <c r="G6" s="2275"/>
      <c r="H6" s="2275"/>
      <c r="I6" s="2272">
        <f>S5&amp;".1"</f>
      </c>
      <c r="J6" s="1379"/>
      <c r="K6" s="1379"/>
      <c r="L6" s="1380" t="s">
        <v>556</v>
      </c>
      <c r="M6" s="553"/>
      <c r="P6" s="2273">
        <v>1</v>
      </c>
      <c r="Q6" s="1347"/>
      <c r="R6" s="372"/>
      <c r="S6" s="1352">
        <f>$I6</f>
      </c>
      <c r="T6" s="301" t="s">
        <v>557</v>
      </c>
      <c r="U6" s="316"/>
      <c r="V6" s="2261"/>
      <c r="W6" s="2262"/>
      <c r="X6" s="2262"/>
      <c r="Y6" s="2262"/>
      <c r="Z6" s="2262"/>
      <c r="AA6" s="2262"/>
      <c r="AB6" s="2262"/>
      <c r="AC6" s="2263"/>
      <c r="AD6" s="2261"/>
      <c r="AE6" s="2262"/>
      <c r="AF6" s="2262"/>
      <c r="AG6" s="2262"/>
      <c r="AH6" s="2262"/>
      <c r="AI6" s="2262"/>
      <c r="AJ6" s="2262"/>
      <c r="AK6" s="2262"/>
      <c r="AL6" s="2263"/>
      <c r="AM6" s="1274" t="s">
        <v>558</v>
      </c>
      <c r="AO6" s="516"/>
      <c r="AP6" s="516" t="str">
        <f>IF(T6="","",T6)</f>
        <v>Схема подключения теплопотребляющей установки к коллектору источника тепловой энергии</v>
      </c>
      <c r="AQ6" s="516"/>
      <c r="AR6" s="516"/>
      <c r="AS6" s="1171">
        <v>0</v>
      </c>
    </row>
    <row customHeight="1" ht="21" hidden="1">
      <c r="A7" s="1379"/>
      <c r="B7" s="1379"/>
      <c r="C7" s="1379"/>
      <c r="D7" s="1379"/>
      <c r="E7" s="2275"/>
      <c r="F7" s="2275"/>
      <c r="G7" s="2275"/>
      <c r="H7" s="2275"/>
      <c r="I7" s="2302"/>
      <c r="J7" s="2272">
        <f>I6&amp;".1"</f>
      </c>
      <c r="K7" s="1379"/>
      <c r="L7" s="1380" t="s">
        <v>559</v>
      </c>
      <c r="M7" s="553"/>
      <c r="N7" s="1382"/>
      <c r="P7" s="2273"/>
      <c r="Q7" s="2273">
        <v>1</v>
      </c>
      <c r="R7" s="373"/>
      <c r="S7" s="1352">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516"/>
      <c r="AP7" s="516" t="str">
        <f>IF(T7="","",T7)</f>
        <v>Группа потребителей</v>
      </c>
      <c r="AQ7" s="516"/>
      <c r="AR7" s="516"/>
      <c r="AS7" s="1171">
        <v>0</v>
      </c>
    </row>
    <row customHeight="1" ht="21" hidden="1">
      <c r="A8" s="1379"/>
      <c r="B8" s="1379"/>
      <c r="C8" s="1379"/>
      <c r="D8" s="1379"/>
      <c r="E8" s="2275"/>
      <c r="F8" s="2275"/>
      <c r="G8" s="2275"/>
      <c r="H8" s="2275"/>
      <c r="I8" s="2302"/>
      <c r="J8" s="2302"/>
      <c r="K8" s="2272">
        <f>J7&amp;".1"</f>
      </c>
      <c r="L8" s="1380" t="s">
        <v>562</v>
      </c>
      <c r="M8" s="553"/>
      <c r="N8" s="1382"/>
      <c r="O8" s="1382"/>
      <c r="P8" s="2273"/>
      <c r="Q8" s="2273"/>
      <c r="R8" s="373">
        <v>1</v>
      </c>
      <c r="S8" s="1352">
        <f>$K8</f>
      </c>
      <c r="T8" s="1363"/>
      <c r="U8" s="316"/>
      <c r="V8" s="341"/>
      <c r="W8" s="767"/>
      <c r="X8" s="341"/>
      <c r="Y8" s="400"/>
      <c r="Z8" s="2281"/>
      <c r="AA8" s="2123" t="s">
        <v>64</v>
      </c>
      <c r="AB8" s="2281"/>
      <c r="AC8" s="2123" t="s">
        <v>64</v>
      </c>
      <c r="AD8" s="341"/>
      <c r="AE8" s="767"/>
      <c r="AF8" s="341"/>
      <c r="AG8" s="400"/>
      <c r="AH8" s="2281"/>
      <c r="AI8" s="2123" t="s">
        <v>64</v>
      </c>
      <c r="AJ8" s="2281"/>
      <c r="AK8" s="2123" t="s">
        <v>64</v>
      </c>
      <c r="AL8" s="341"/>
      <c r="AM8" s="2269" t="s">
        <v>563</v>
      </c>
      <c r="AN8" s="527">
        <f>STRCHECKDATE(V9:AL9)</f>
      </c>
      <c r="AO8" s="516"/>
      <c r="AP8" s="516" t="str">
        <f>IF(T8="","",T8)</f>
        <v/>
      </c>
      <c r="AQ8" s="516"/>
      <c r="AR8" s="516"/>
      <c r="AS8" s="1171">
        <v>0</v>
      </c>
    </row>
    <row customHeight="1" ht="0.75" hidden="1">
      <c r="A9" s="1379"/>
      <c r="B9" s="1379"/>
      <c r="C9" s="1379"/>
      <c r="D9" s="1379"/>
      <c r="E9" s="2275"/>
      <c r="F9" s="2275"/>
      <c r="G9" s="2275"/>
      <c r="H9" s="2275"/>
      <c r="I9" s="2302"/>
      <c r="J9" s="2302"/>
      <c r="K9" s="2272"/>
      <c r="L9" s="1380"/>
      <c r="M9" s="553"/>
      <c r="N9" s="1382"/>
      <c r="O9" s="1382"/>
      <c r="P9" s="2273"/>
      <c r="Q9" s="2273"/>
      <c r="R9" s="373"/>
      <c r="S9" s="1358"/>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516"/>
      <c r="AP9" s="516" t="str">
        <f>IF(T9="","",T9)</f>
        <v/>
      </c>
      <c r="AQ9" s="516"/>
      <c r="AR9" s="516"/>
      <c r="AS9" s="1171">
        <v>0</v>
      </c>
    </row>
    <row customHeight="1" ht="15" hidden="1">
      <c r="A10" s="1379"/>
      <c r="B10" s="1379"/>
      <c r="C10" s="1379"/>
      <c r="D10" s="1379"/>
      <c r="E10" s="2275"/>
      <c r="F10" s="2275"/>
      <c r="G10" s="2275"/>
      <c r="H10" s="2275"/>
      <c r="I10" s="2302"/>
      <c r="J10" s="2272"/>
      <c r="K10" s="1379"/>
      <c r="L10" s="1380"/>
      <c r="M10" s="553"/>
      <c r="N10" s="1382"/>
      <c r="P10" s="2273"/>
      <c r="Q10" s="2273"/>
      <c r="R10" s="372"/>
      <c r="S10" s="1294"/>
      <c r="T10" s="304" t="s">
        <v>564</v>
      </c>
      <c r="U10" s="383"/>
      <c r="V10" s="383"/>
      <c r="W10" s="383"/>
      <c r="X10" s="383"/>
      <c r="Y10" s="383"/>
      <c r="Z10" s="383"/>
      <c r="AA10" s="383"/>
      <c r="AB10" s="383"/>
      <c r="AC10" s="383"/>
      <c r="AD10" s="383"/>
      <c r="AE10" s="383"/>
      <c r="AF10" s="383"/>
      <c r="AG10" s="383"/>
      <c r="AH10" s="383"/>
      <c r="AI10" s="383"/>
      <c r="AJ10" s="383"/>
      <c r="AK10" s="383"/>
      <c r="AL10" s="340"/>
      <c r="AM10" s="2271"/>
      <c r="AO10" s="516"/>
      <c r="AP10" s="516" t="str">
        <f>IF(T10="","",T10)</f>
        <v>Добавить вид теплоносителя (параметры теплоносителя)</v>
      </c>
      <c r="AQ10" s="516"/>
      <c r="AR10" s="516"/>
      <c r="AS10" s="1171">
        <v>0</v>
      </c>
    </row>
    <row customHeight="1" ht="15" hidden="1">
      <c r="A11" s="1379"/>
      <c r="B11" s="1379"/>
      <c r="C11" s="1379"/>
      <c r="D11" s="1379"/>
      <c r="E11" s="2275"/>
      <c r="F11" s="2275"/>
      <c r="G11" s="2275"/>
      <c r="H11" s="2275"/>
      <c r="I11" s="2272"/>
      <c r="J11" s="1379"/>
      <c r="K11" s="1379"/>
      <c r="L11" s="1380"/>
      <c r="M11" s="553"/>
      <c r="P11" s="2273"/>
      <c r="Q11" s="1347"/>
      <c r="R11" s="372"/>
      <c r="S11" s="1294"/>
      <c r="T11" s="303" t="s">
        <v>565</v>
      </c>
      <c r="U11" s="383"/>
      <c r="V11" s="383"/>
      <c r="W11" s="383"/>
      <c r="X11" s="383"/>
      <c r="Y11" s="383"/>
      <c r="Z11" s="383"/>
      <c r="AA11" s="383"/>
      <c r="AB11" s="383"/>
      <c r="AC11" s="382"/>
      <c r="AD11" s="383"/>
      <c r="AE11" s="383"/>
      <c r="AF11" s="383"/>
      <c r="AG11" s="383"/>
      <c r="AH11" s="383"/>
      <c r="AI11" s="383"/>
      <c r="AJ11" s="383"/>
      <c r="AK11" s="382"/>
      <c r="AL11" s="383"/>
      <c r="AM11" s="319"/>
      <c r="AO11" s="516"/>
      <c r="AP11" s="516" t="str">
        <f>IF(T11="","",T11)</f>
        <v>Добавить группу потребителей</v>
      </c>
      <c r="AQ11" s="516"/>
      <c r="AR11" s="516"/>
      <c r="AS11" s="1171">
        <v>0</v>
      </c>
    </row>
    <row customHeight="1" ht="14.25" hidden="1">
      <c r="A12" s="1379"/>
      <c r="B12" s="1379"/>
      <c r="C12" s="1379"/>
      <c r="D12" s="1379"/>
      <c r="E12" s="2275"/>
      <c r="F12" s="2275"/>
      <c r="G12" s="2275"/>
      <c r="H12" s="2274"/>
      <c r="I12" s="1379"/>
      <c r="J12" s="1379"/>
      <c r="K12" s="1379"/>
      <c r="L12" s="1380"/>
      <c r="M12" s="1381"/>
      <c r="N12" s="1381"/>
      <c r="O12" s="553"/>
      <c r="P12" s="376"/>
      <c r="Q12" s="391"/>
      <c r="R12" s="371"/>
      <c r="S12" s="1294"/>
      <c r="T12" s="381" t="s">
        <v>566</v>
      </c>
      <c r="U12" s="383"/>
      <c r="V12" s="383"/>
      <c r="W12" s="383"/>
      <c r="X12" s="383"/>
      <c r="Y12" s="383"/>
      <c r="Z12" s="383"/>
      <c r="AA12" s="383"/>
      <c r="AB12" s="383"/>
      <c r="AC12" s="382"/>
      <c r="AD12" s="383"/>
      <c r="AE12" s="383"/>
      <c r="AF12" s="383"/>
      <c r="AG12" s="383"/>
      <c r="AH12" s="383"/>
      <c r="AI12" s="383"/>
      <c r="AJ12" s="383"/>
      <c r="AK12" s="382"/>
      <c r="AL12" s="383"/>
      <c r="AM12" s="319"/>
      <c r="AO12" s="516"/>
      <c r="AP12" s="516" t="str">
        <f>IF(T12="","",T12)</f>
        <v>Добавить схему подключения</v>
      </c>
      <c r="AQ12" s="516"/>
      <c r="AR12" s="516"/>
      <c r="AS12" s="1171">
        <v>0</v>
      </c>
    </row>
    <row s="1658" customFormat="1" customHeight="1" ht="0.75" hidden="1">
      <c r="A13" s="1330"/>
      <c r="B13" s="1330"/>
      <c r="C13" s="1330"/>
      <c r="D13" s="1330"/>
      <c r="E13" s="2275"/>
      <c r="F13" s="2275"/>
      <c r="G13" s="2274"/>
      <c r="H13" s="1330"/>
      <c r="I13" s="1330"/>
      <c r="J13" s="1330"/>
      <c r="K13" s="1330"/>
      <c r="L13" s="1355"/>
      <c r="M13" s="1331"/>
      <c r="N13" s="133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805"/>
      <c r="AP13" s="805" t="str">
        <f>IF(T13="","",T13)</f>
        <v>Добавить источник для дифференциации</v>
      </c>
      <c r="AQ13" s="805"/>
      <c r="AR13" s="805"/>
      <c r="AS13" s="534">
        <v>0</v>
      </c>
    </row>
    <row s="1658" customFormat="1" customHeight="1" ht="0.75" hidden="1">
      <c r="A14" s="1330"/>
      <c r="B14" s="1330"/>
      <c r="C14" s="1330"/>
      <c r="D14" s="1330"/>
      <c r="E14" s="2275"/>
      <c r="F14" s="2274"/>
      <c r="G14" s="1330"/>
      <c r="H14" s="1330"/>
      <c r="I14" s="1330"/>
      <c r="J14" s="1330"/>
      <c r="K14" s="1330"/>
      <c r="L14" s="1355"/>
      <c r="M14" s="1337"/>
      <c r="N14" s="133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805"/>
      <c r="AP14" s="805" t="str">
        <f>IF(T14="","",T14)</f>
        <v>Добавить централизованную систему для дифференциации</v>
      </c>
      <c r="AQ14" s="805"/>
      <c r="AR14" s="805"/>
      <c r="AS14" s="534">
        <v>0</v>
      </c>
    </row>
    <row s="1658" customFormat="1" customHeight="1" ht="0.75" hidden="1">
      <c r="A15" s="1330"/>
      <c r="B15" s="1330"/>
      <c r="C15" s="1330"/>
      <c r="D15" s="1330"/>
      <c r="E15" s="2274"/>
      <c r="F15" s="1330"/>
      <c r="G15" s="1330"/>
      <c r="H15" s="1330"/>
      <c r="I15" s="1330"/>
      <c r="J15" s="1330"/>
      <c r="K15" s="1330"/>
      <c r="L15" s="1355"/>
      <c r="M15" s="1337"/>
      <c r="N15" s="133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805"/>
      <c r="AP15" s="805" t="str">
        <f>IF(T15="","",T15)</f>
        <v>Добавить территорию для дифференциации</v>
      </c>
      <c r="AQ15" s="805"/>
      <c r="AR15" s="805"/>
      <c r="AS15" s="534">
        <v>0</v>
      </c>
    </row>
    <row customHeight="1" ht="14.25" hidden="1">
      <c r="AC16" s="343"/>
      <c r="AK16" s="343"/>
      <c r="AS16" s="1171">
        <v>0</v>
      </c>
    </row>
    <row customHeight="1" ht="14.25" hidden="1">
      <c r="AD17" s="1376"/>
      <c r="AE17" s="1376"/>
      <c r="AF17" s="1376"/>
      <c r="AG17" s="1377"/>
      <c r="AH17" s="2283"/>
      <c r="AI17" s="2284" t="s">
        <v>64</v>
      </c>
      <c r="AJ17" s="2283"/>
      <c r="AK17" s="2284" t="s">
        <v>64</v>
      </c>
      <c r="AS17" s="1171">
        <v>0</v>
      </c>
    </row>
    <row customHeight="1" ht="14.25" hidden="1">
      <c r="AD18" s="1376"/>
      <c r="AE18" s="1376"/>
      <c r="AF18" s="1376"/>
      <c r="AG18" s="344" t="str">
        <f>AH17&amp;"-"&amp;AJ17</f>
        <v>-</v>
      </c>
      <c r="AH18" s="2284"/>
      <c r="AI18" s="2284"/>
      <c r="AJ18" s="2284"/>
      <c r="AK18" s="2284"/>
      <c r="AS18" s="1171">
        <v>0</v>
      </c>
    </row>
    <row customHeight="1" ht="14.25" hidden="1">
      <c r="AK19" s="343"/>
      <c r="AS19" s="1171">
        <v>0</v>
      </c>
    </row>
    <row s="1382" customFormat="1" customHeight="1" ht="22.5" hidden="1">
      <c r="L20" s="1345"/>
      <c r="M20" s="1378"/>
      <c r="N20" s="1378"/>
      <c r="O20" s="1383" t="s">
        <v>567</v>
      </c>
      <c r="P20" s="1378"/>
      <c r="Q20" s="1387"/>
      <c r="R20" s="1387"/>
      <c r="S20" s="745"/>
      <c r="Z20" s="1383"/>
      <c r="AB20" s="1383"/>
      <c r="AC20" s="1382"/>
      <c r="AH20" s="1383"/>
      <c r="AJ20" s="1383"/>
      <c r="AK20" s="1382"/>
      <c r="AN20" s="527"/>
      <c r="AO20" s="527"/>
      <c r="AP20" s="527"/>
      <c r="AQ20" s="527"/>
      <c r="AR20" s="527"/>
      <c r="AS20" s="1176">
        <v>0</v>
      </c>
    </row>
    <row s="1382" customFormat="1" customHeight="1" ht="14.25" hidden="1">
      <c r="L21" s="1345"/>
      <c r="M21" s="1378"/>
      <c r="N21" s="1378"/>
      <c r="O21" s="1378"/>
      <c r="P21" s="1378"/>
      <c r="Q21" s="1387"/>
      <c r="R21" s="1387"/>
      <c r="S21" s="745"/>
      <c r="AC21" s="1382"/>
      <c r="AK21" s="1382"/>
      <c r="AN21" s="527"/>
      <c r="AO21" s="527"/>
      <c r="AP21" s="527"/>
      <c r="AQ21" s="527"/>
      <c r="AR21" s="527"/>
      <c r="AS21" s="1176">
        <v>0</v>
      </c>
    </row>
    <row s="1382" customFormat="1" customHeight="1" ht="33.75" hidden="1">
      <c r="L22" s="1345"/>
      <c r="M22" s="1378"/>
      <c r="N22" s="1378"/>
      <c r="O22" s="1380" t="s">
        <v>568</v>
      </c>
      <c r="P22" s="1378"/>
      <c r="Q22" s="1387"/>
      <c r="R22" s="1387"/>
      <c r="S22" s="745"/>
      <c r="T22" s="1176" t="s">
        <v>569</v>
      </c>
      <c r="AA22" s="202" t="s">
        <v>570</v>
      </c>
      <c r="AC22" s="202" t="s">
        <v>571</v>
      </c>
      <c r="AD22" s="1176" t="s">
        <v>569</v>
      </c>
      <c r="AI22" s="202" t="s">
        <v>572</v>
      </c>
      <c r="AK22" s="202" t="s">
        <v>571</v>
      </c>
      <c r="AN22" s="527"/>
      <c r="AO22" s="527"/>
      <c r="AP22" s="527"/>
      <c r="AQ22" s="527"/>
      <c r="AR22" s="527"/>
      <c r="AS22" s="1176">
        <v>0</v>
      </c>
    </row>
    <row customHeight="1" ht="14.25" hidden="1">
      <c r="O23" s="1380"/>
      <c r="AS23" s="1171">
        <v>0</v>
      </c>
    </row>
    <row customHeight="1" ht="14.25" hidden="1">
      <c r="O24" s="1380"/>
      <c r="AS24" s="1171">
        <v>0</v>
      </c>
    </row>
    <row customHeight="1" ht="14.699999999999998">
      <c r="Q25" s="392"/>
      <c r="R25" s="392"/>
      <c r="S25" s="1291"/>
      <c r="T25" s="379"/>
      <c r="U25" s="379"/>
      <c r="V25" s="525"/>
      <c r="W25" s="525"/>
      <c r="X25" s="525"/>
      <c r="Y25" s="525"/>
      <c r="Z25" s="525"/>
      <c r="AA25" s="525"/>
      <c r="AB25" s="525"/>
      <c r="AC25" s="525"/>
      <c r="AD25" s="525"/>
      <c r="AE25" s="525"/>
      <c r="AF25" s="525"/>
      <c r="AG25" s="525"/>
      <c r="AH25" s="525"/>
      <c r="AI25" s="525"/>
      <c r="AJ25" s="525"/>
      <c r="AK25" s="525"/>
      <c r="AS25" s="1171">
        <v>14</v>
      </c>
    </row>
    <row customHeight="1" ht="29.25">
      <c r="Q26" s="392"/>
      <c r="R26" s="392"/>
      <c r="S26" s="226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4"/>
      <c r="U26" s="2264"/>
      <c r="V26" s="2264"/>
      <c r="W26" s="2264"/>
      <c r="X26" s="2264"/>
      <c r="Y26" s="2264"/>
      <c r="Z26" s="2264"/>
      <c r="AA26" s="2264"/>
      <c r="AB26" s="2264"/>
      <c r="AC26" s="2264"/>
      <c r="AD26" s="2264"/>
      <c r="AE26" s="2264"/>
      <c r="AF26" s="2264"/>
      <c r="AG26" s="2264"/>
      <c r="AH26" s="2264"/>
      <c r="AI26" s="2264"/>
      <c r="AJ26" s="2264"/>
      <c r="AK26" s="1259"/>
      <c r="AS26" s="1171">
        <v>28</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171">
        <v>14</v>
      </c>
    </row>
    <row customHeight="1" ht="14.25">
      <c r="Q28" s="392"/>
      <c r="R28" s="392"/>
      <c r="S28" s="1291"/>
      <c r="T28" s="379"/>
      <c r="U28" s="379"/>
      <c r="V28" s="338"/>
      <c r="W28" s="338"/>
      <c r="X28" s="338"/>
      <c r="Y28" s="338"/>
      <c r="Z28" s="338"/>
      <c r="AA28" s="338"/>
      <c r="AB28" s="338"/>
      <c r="AC28" s="338"/>
      <c r="AD28" s="338"/>
      <c r="AE28" s="338"/>
      <c r="AF28" s="338"/>
      <c r="AG28" s="338"/>
      <c r="AH28" s="338"/>
      <c r="AI28" s="338"/>
      <c r="AJ28" s="338"/>
      <c r="AK28" s="338"/>
      <c r="AL28" s="525"/>
      <c r="AS28" s="1171">
        <v>0</v>
      </c>
    </row>
    <row s="1869" customFormat="1" customHeight="1" ht="25.5">
      <c r="A29" s="1384"/>
      <c r="B29" s="1384"/>
      <c r="C29" s="1384"/>
      <c r="D29" s="1384"/>
      <c r="E29" s="1384"/>
      <c r="F29" s="1384"/>
      <c r="G29" s="1384"/>
      <c r="H29" s="1384"/>
      <c r="I29" s="1384"/>
      <c r="J29" s="1384"/>
      <c r="K29" s="1384"/>
      <c r="L29" s="1385"/>
      <c r="M29" s="1384"/>
      <c r="N29" s="1384"/>
      <c r="O29" s="138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342"/>
      <c r="AD29" s="2267" t="str">
        <f>IF(TITLE_NAME_OR_PR_CHANGE="",IF(TITLE_NAME_OR_PR="","",TITLE_NAME_OR_PR),TITLE_NAME_OR_PR_CHANGE)</f>
        <v>Агентство по тарифам Приморского края</v>
      </c>
      <c r="AE29" s="2267"/>
      <c r="AF29" s="2267"/>
      <c r="AG29" s="2267"/>
      <c r="AH29" s="2267"/>
      <c r="AI29" s="2267"/>
      <c r="AJ29" s="2267"/>
      <c r="AK29" s="342"/>
      <c r="AL29" s="342"/>
      <c r="AM29" s="296"/>
      <c r="AN29" s="384"/>
      <c r="AO29" s="384"/>
      <c r="AP29" s="384"/>
      <c r="AQ29" s="384"/>
      <c r="AR29" s="384"/>
      <c r="AS29" s="434">
        <v>0</v>
      </c>
    </row>
    <row s="1869" customFormat="1" customHeight="1" ht="18.75">
      <c r="A30" s="1384"/>
      <c r="B30" s="1384"/>
      <c r="C30" s="1384"/>
      <c r="D30" s="1384"/>
      <c r="E30" s="1384"/>
      <c r="F30" s="1384"/>
      <c r="G30" s="1384"/>
      <c r="H30" s="1384"/>
      <c r="I30" s="1384"/>
      <c r="J30" s="1384"/>
      <c r="K30" s="1384"/>
      <c r="L30" s="1385"/>
      <c r="M30" s="1384"/>
      <c r="N30" s="1384"/>
      <c r="O30" s="1384"/>
      <c r="S30" s="2266" t="s">
        <v>573</v>
      </c>
      <c r="T30" s="2266"/>
      <c r="U30" s="1388"/>
      <c r="V30" s="2280" t="str">
        <f>IF(TITLE_DATE_PR_CHANGE="",IF(TITLE_DATE_PR="","",TITLE_DATE_PR),TITLE_DATE_PR_CHANGE)</f>
        <v>45910</v>
      </c>
      <c r="W30" s="2280"/>
      <c r="X30" s="2280"/>
      <c r="Y30" s="2280"/>
      <c r="Z30" s="2280"/>
      <c r="AA30" s="2280"/>
      <c r="AB30" s="2280"/>
      <c r="AC30" s="342"/>
      <c r="AD30" s="2280" t="str">
        <f>IF(TITLE_DATE_PR_CHANGE="",IF(TITLE_DATE_PR="","",TITLE_DATE_PR),TITLE_DATE_PR_CHANGE)</f>
        <v>45910</v>
      </c>
      <c r="AE30" s="2280"/>
      <c r="AF30" s="2280"/>
      <c r="AG30" s="2280"/>
      <c r="AH30" s="2280"/>
      <c r="AI30" s="2280"/>
      <c r="AJ30" s="2280"/>
      <c r="AK30" s="342"/>
      <c r="AL30" s="342"/>
      <c r="AM30" s="296"/>
      <c r="AN30" s="384"/>
      <c r="AO30" s="384"/>
      <c r="AP30" s="384"/>
      <c r="AQ30" s="384"/>
      <c r="AR30" s="384"/>
      <c r="AS30" s="434">
        <v>0</v>
      </c>
    </row>
    <row s="1869" customFormat="1" customHeight="1" ht="18.75">
      <c r="A31" s="1384"/>
      <c r="B31" s="1384"/>
      <c r="C31" s="1384"/>
      <c r="D31" s="1384"/>
      <c r="E31" s="1384"/>
      <c r="F31" s="1384"/>
      <c r="G31" s="1384"/>
      <c r="H31" s="1384"/>
      <c r="I31" s="1384"/>
      <c r="J31" s="1384"/>
      <c r="K31" s="1384"/>
      <c r="L31" s="1385"/>
      <c r="M31" s="1384"/>
      <c r="N31" s="1384"/>
      <c r="O31" s="1384"/>
      <c r="S31" s="2266" t="s">
        <v>574</v>
      </c>
      <c r="T31" s="2266"/>
      <c r="U31" s="1388"/>
      <c r="V31" s="2267" t="str">
        <f>IF(TITLE_NUMBER_PR_CHANGE="",IF(TITLE_NUMBER_PR="","",TITLE_NUMBER_PR),TITLE_NUMBER_PR_CHANGE)</f>
        <v>37/2</v>
      </c>
      <c r="W31" s="2267"/>
      <c r="X31" s="2267"/>
      <c r="Y31" s="2267"/>
      <c r="Z31" s="2267"/>
      <c r="AA31" s="2267"/>
      <c r="AB31" s="2267"/>
      <c r="AC31" s="342"/>
      <c r="AD31" s="2267" t="str">
        <f>IF(TITLE_NUMBER_PR_CHANGE="",IF(TITLE_NUMBER_PR="","",TITLE_NUMBER_PR),TITLE_NUMBER_PR_CHANGE)</f>
        <v>37/2</v>
      </c>
      <c r="AE31" s="2267"/>
      <c r="AF31" s="2267"/>
      <c r="AG31" s="2267"/>
      <c r="AH31" s="2267"/>
      <c r="AI31" s="2267"/>
      <c r="AJ31" s="2267"/>
      <c r="AK31" s="342"/>
      <c r="AL31" s="342"/>
      <c r="AM31" s="296"/>
      <c r="AN31" s="384"/>
      <c r="AO31" s="384"/>
      <c r="AP31" s="384"/>
      <c r="AQ31" s="384"/>
      <c r="AR31" s="384"/>
      <c r="AS31" s="434">
        <v>0</v>
      </c>
    </row>
    <row s="1869" customFormat="1" customHeight="1" ht="18.75">
      <c r="A32" s="1384"/>
      <c r="B32" s="1384"/>
      <c r="C32" s="1384"/>
      <c r="D32" s="1384"/>
      <c r="E32" s="1384"/>
      <c r="F32" s="1384"/>
      <c r="G32" s="1384"/>
      <c r="H32" s="1384"/>
      <c r="I32" s="1384"/>
      <c r="J32" s="1384"/>
      <c r="K32" s="1384"/>
      <c r="L32" s="1385"/>
      <c r="M32" s="1384"/>
      <c r="N32" s="1384"/>
      <c r="O32" s="1384"/>
      <c r="S32" s="2266" t="s">
        <v>44</v>
      </c>
      <c r="T32" s="2266"/>
      <c r="U32" s="1388"/>
      <c r="V32" s="2267" t="str">
        <f>IF(TITLE_IST_PUB_CHANGE="",IF(TITLE_IST_PUB="","",TITLE_IST_PUB),TITLE_IST_PUB_CHANGE)</f>
        <v>http://pravo.gov.ru</v>
      </c>
      <c r="W32" s="2267"/>
      <c r="X32" s="2267"/>
      <c r="Y32" s="2267"/>
      <c r="Z32" s="2267"/>
      <c r="AA32" s="2267"/>
      <c r="AB32" s="2267"/>
      <c r="AC32" s="342"/>
      <c r="AD32" s="2267" t="str">
        <f>IF(TITLE_IST_PUB_CHANGE="",IF(TITLE_IST_PUB="","",TITLE_IST_PUB),TITLE_IST_PUB_CHANGE)</f>
        <v>http://pravo.gov.ru</v>
      </c>
      <c r="AE32" s="2267"/>
      <c r="AF32" s="2267"/>
      <c r="AG32" s="2267"/>
      <c r="AH32" s="2267"/>
      <c r="AI32" s="2267"/>
      <c r="AJ32" s="2267"/>
      <c r="AK32" s="342"/>
      <c r="AL32" s="342"/>
      <c r="AM32" s="296"/>
      <c r="AN32" s="384"/>
      <c r="AO32" s="384"/>
      <c r="AP32" s="384"/>
      <c r="AQ32" s="384"/>
      <c r="AR32" s="384"/>
      <c r="AS32" s="434">
        <v>0</v>
      </c>
    </row>
    <row customHeight="1" ht="14.25" hidden="1">
      <c r="Q33" s="392"/>
      <c r="R33" s="392"/>
      <c r="S33" s="1291"/>
      <c r="T33" s="379"/>
      <c r="U33" s="379"/>
      <c r="V33" s="338"/>
      <c r="W33" s="338"/>
      <c r="X33" s="338"/>
      <c r="Y33" s="338"/>
      <c r="Z33" s="338"/>
      <c r="AA33" s="338"/>
      <c r="AB33" s="338"/>
      <c r="AC33" s="338"/>
      <c r="AD33" s="338"/>
      <c r="AE33" s="338"/>
      <c r="AF33" s="338"/>
      <c r="AG33" s="338"/>
      <c r="AH33" s="338"/>
      <c r="AI33" s="338"/>
      <c r="AJ33" s="338"/>
      <c r="AK33" s="338"/>
      <c r="AL33" s="525"/>
      <c r="AS33" s="1171">
        <v>0</v>
      </c>
    </row>
    <row s="1869" customFormat="1" customHeight="1" ht="18.75" hidden="1">
      <c r="A34" s="1384"/>
      <c r="B34" s="1384"/>
      <c r="C34" s="1384"/>
      <c r="D34" s="1384"/>
      <c r="E34" s="1384"/>
      <c r="F34" s="1384"/>
      <c r="G34" s="1384"/>
      <c r="H34" s="1384"/>
      <c r="I34" s="1384"/>
      <c r="J34" s="1384"/>
      <c r="K34" s="1384"/>
      <c r="L34" s="1385"/>
      <c r="M34" s="1384"/>
      <c r="N34" s="1384"/>
      <c r="O34" s="1384"/>
      <c r="S34" s="2266" t="s">
        <v>575</v>
      </c>
      <c r="T34" s="2266"/>
      <c r="U34" s="1388"/>
      <c r="V34" s="2280" t="str">
        <f>IF(TITLE_DATE_PR_CHANGE="",IF(TITLE_DATE_PR="","",TITLE_DATE_PR),TITLE_DATE_PR_CHANGE)</f>
        <v>45910</v>
      </c>
      <c r="W34" s="2280"/>
      <c r="X34" s="2280"/>
      <c r="Y34" s="2280"/>
      <c r="Z34" s="2280"/>
      <c r="AA34" s="2280"/>
      <c r="AB34" s="2280"/>
      <c r="AC34" s="342"/>
      <c r="AD34" s="2280" t="str">
        <f>IF(TITLE_DATE_PR_CHANGE="",IF(TITLE_DATE_PR="","",TITLE_DATE_PR),TITLE_DATE_PR_CHANGE)</f>
        <v>45910</v>
      </c>
      <c r="AE34" s="2280"/>
      <c r="AF34" s="2280"/>
      <c r="AG34" s="2280"/>
      <c r="AH34" s="2280"/>
      <c r="AI34" s="2280"/>
      <c r="AJ34" s="2280"/>
      <c r="AK34" s="342"/>
      <c r="AL34" s="342"/>
      <c r="AM34" s="296"/>
      <c r="AN34" s="384"/>
      <c r="AO34" s="384"/>
      <c r="AP34" s="384"/>
      <c r="AQ34" s="384"/>
      <c r="AR34" s="384"/>
      <c r="AS34" s="434">
        <v>0</v>
      </c>
    </row>
    <row s="1869" customFormat="1" customHeight="1" ht="18.75" hidden="1">
      <c r="A35" s="1384"/>
      <c r="B35" s="1384"/>
      <c r="C35" s="1384"/>
      <c r="D35" s="1384"/>
      <c r="E35" s="1384"/>
      <c r="F35" s="1384"/>
      <c r="G35" s="1384"/>
      <c r="H35" s="1384"/>
      <c r="I35" s="1384"/>
      <c r="J35" s="1384"/>
      <c r="K35" s="1384"/>
      <c r="L35" s="1385"/>
      <c r="M35" s="1384"/>
      <c r="N35" s="1384"/>
      <c r="O35" s="1384"/>
      <c r="S35" s="2266" t="s">
        <v>576</v>
      </c>
      <c r="T35" s="2266"/>
      <c r="U35" s="1388"/>
      <c r="V35" s="2267" t="str">
        <f>IF(TITLE_NUMBER_PR_CHANGE="",IF(TITLE_NUMBER_PR="","",TITLE_NUMBER_PR),TITLE_NUMBER_PR_CHANGE)</f>
        <v>37/2</v>
      </c>
      <c r="W35" s="2267"/>
      <c r="X35" s="2267"/>
      <c r="Y35" s="2267"/>
      <c r="Z35" s="2267"/>
      <c r="AA35" s="2267"/>
      <c r="AB35" s="2267"/>
      <c r="AC35" s="342"/>
      <c r="AD35" s="2267" t="str">
        <f>IF(TITLE_NUMBER_PR_CHANGE="",IF(TITLE_NUMBER_PR="","",TITLE_NUMBER_PR),TITLE_NUMBER_PR_CHANGE)</f>
        <v>37/2</v>
      </c>
      <c r="AE35" s="2267"/>
      <c r="AF35" s="2267"/>
      <c r="AG35" s="2267"/>
      <c r="AH35" s="2267"/>
      <c r="AI35" s="2267"/>
      <c r="AJ35" s="2267"/>
      <c r="AK35" s="342"/>
      <c r="AL35" s="342"/>
      <c r="AM35" s="296"/>
      <c r="AN35" s="384"/>
      <c r="AO35" s="384"/>
      <c r="AP35" s="384"/>
      <c r="AQ35" s="384"/>
      <c r="AR35" s="384"/>
      <c r="AS35" s="434">
        <v>0</v>
      </c>
    </row>
    <row s="1869" customFormat="1" customHeight="1" ht="0">
      <c r="A36" s="1384"/>
      <c r="B36" s="1384"/>
      <c r="C36" s="1384"/>
      <c r="D36" s="1384"/>
      <c r="E36" s="1384"/>
      <c r="F36" s="1384"/>
      <c r="G36" s="1384"/>
      <c r="H36" s="1384"/>
      <c r="I36" s="1384"/>
      <c r="J36" s="1384"/>
      <c r="K36" s="1384"/>
      <c r="L36" s="1385"/>
      <c r="M36" s="1384"/>
      <c r="N36" s="1384"/>
      <c r="O36" s="1384"/>
      <c r="S36" s="339"/>
      <c r="T36" s="339"/>
      <c r="U36" s="1356"/>
      <c r="V36" s="342"/>
      <c r="W36" s="342"/>
      <c r="X36" s="342"/>
      <c r="Y36" s="342"/>
      <c r="Z36" s="342"/>
      <c r="AA36" s="342"/>
      <c r="AB36" s="342"/>
      <c r="AC36" s="294" t="s">
        <v>577</v>
      </c>
      <c r="AD36" s="342"/>
      <c r="AE36" s="342"/>
      <c r="AF36" s="342"/>
      <c r="AG36" s="342"/>
      <c r="AH36" s="342"/>
      <c r="AI36" s="342"/>
      <c r="AJ36" s="342"/>
      <c r="AK36" s="294" t="s">
        <v>577</v>
      </c>
      <c r="AN36" s="384"/>
      <c r="AO36" s="384"/>
      <c r="AP36" s="384"/>
      <c r="AQ36" s="384"/>
      <c r="AR36" s="384"/>
      <c r="AS36" s="434">
        <v>0</v>
      </c>
    </row>
    <row customHeight="1" ht="14.699999999999998">
      <c r="Q37" s="392"/>
      <c r="R37" s="392"/>
      <c r="S37" s="1291"/>
      <c r="T37" s="379"/>
      <c r="U37" s="1260"/>
      <c r="V37" s="2268"/>
      <c r="W37" s="2268"/>
      <c r="X37" s="2268"/>
      <c r="Y37" s="2268"/>
      <c r="Z37" s="2268"/>
      <c r="AA37" s="2268"/>
      <c r="AB37" s="2268"/>
      <c r="AC37" s="2268"/>
      <c r="AD37" s="2268"/>
      <c r="AE37" s="2268"/>
      <c r="AF37" s="2268"/>
      <c r="AG37" s="2268"/>
      <c r="AH37" s="2268"/>
      <c r="AI37" s="2268"/>
      <c r="AJ37" s="2268"/>
      <c r="AK37" s="2268"/>
      <c r="AS37" s="1171">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171">
        <v>14</v>
      </c>
    </row>
    <row customHeight="1" ht="14.699999999999998">
      <c r="Q39" s="392"/>
      <c r="R39" s="392"/>
      <c r="S39" s="2289" t="s">
        <v>91</v>
      </c>
      <c r="T39" s="2225" t="s">
        <v>578</v>
      </c>
      <c r="U39" s="317"/>
      <c r="V39" s="2290" t="s">
        <v>579</v>
      </c>
      <c r="W39" s="2291"/>
      <c r="X39" s="2307"/>
      <c r="Y39" s="2307"/>
      <c r="Z39" s="2291"/>
      <c r="AA39" s="2291"/>
      <c r="AB39" s="2292"/>
      <c r="AC39" s="2293" t="s">
        <v>580</v>
      </c>
      <c r="AD39" s="2290" t="s">
        <v>579</v>
      </c>
      <c r="AE39" s="2291"/>
      <c r="AF39" s="2307"/>
      <c r="AG39" s="2307"/>
      <c r="AH39" s="2291"/>
      <c r="AI39" s="2291"/>
      <c r="AJ39" s="2292"/>
      <c r="AK39" s="2293" t="s">
        <v>581</v>
      </c>
      <c r="AL39" s="2296" t="s">
        <v>582</v>
      </c>
      <c r="AM39" s="2143"/>
      <c r="AS39" s="1171">
        <v>14</v>
      </c>
    </row>
    <row customHeight="1" ht="24">
      <c r="Q40" s="392"/>
      <c r="R40" s="392"/>
      <c r="S40" s="2289"/>
      <c r="T40" s="2225"/>
      <c r="U40" s="1047"/>
      <c r="V40" s="2308" t="s">
        <v>583</v>
      </c>
      <c r="W40" s="2310" t="s">
        <v>584</v>
      </c>
      <c r="X40" s="1392" t="s">
        <v>585</v>
      </c>
      <c r="Y40" s="1392"/>
      <c r="Z40" s="2285" t="s">
        <v>586</v>
      </c>
      <c r="AA40" s="2285"/>
      <c r="AB40" s="2279"/>
      <c r="AC40" s="2294"/>
      <c r="AD40" s="2308" t="s">
        <v>583</v>
      </c>
      <c r="AE40" s="2310" t="s">
        <v>584</v>
      </c>
      <c r="AF40" s="1392" t="s">
        <v>585</v>
      </c>
      <c r="AG40" s="1392"/>
      <c r="AH40" s="2285" t="s">
        <v>586</v>
      </c>
      <c r="AI40" s="2285"/>
      <c r="AJ40" s="2279"/>
      <c r="AK40" s="2294"/>
      <c r="AL40" s="2297"/>
      <c r="AM40" s="2143"/>
      <c r="AS40" s="1171">
        <v>23</v>
      </c>
    </row>
    <row s="1282" customFormat="1" customHeight="1" ht="24">
      <c r="A41" s="1386"/>
      <c r="B41" s="1386" t="s">
        <v>204</v>
      </c>
      <c r="C41" s="1386" t="s">
        <v>205</v>
      </c>
      <c r="D41" s="1386" t="s">
        <v>206</v>
      </c>
      <c r="E41" s="1380" t="s">
        <v>587</v>
      </c>
      <c r="F41" s="1380" t="s">
        <v>588</v>
      </c>
      <c r="G41" s="1380" t="s">
        <v>589</v>
      </c>
      <c r="H41" s="1380" t="s">
        <v>590</v>
      </c>
      <c r="I41" s="1380" t="s">
        <v>591</v>
      </c>
      <c r="J41" s="1380" t="s">
        <v>592</v>
      </c>
      <c r="K41" s="1380" t="s">
        <v>593</v>
      </c>
      <c r="L41" s="1380" t="s">
        <v>568</v>
      </c>
      <c r="M41" s="1378"/>
      <c r="N41" s="1378"/>
      <c r="O41" s="1378"/>
      <c r="P41" s="1344"/>
      <c r="Q41" s="392"/>
      <c r="R41" s="392"/>
      <c r="S41" s="2289"/>
      <c r="T41" s="2225"/>
      <c r="U41" s="318"/>
      <c r="V41" s="2309"/>
      <c r="W41" s="2311"/>
      <c r="X41" s="1389" t="s">
        <v>594</v>
      </c>
      <c r="Y41" s="1389" t="s">
        <v>595</v>
      </c>
      <c r="Z41" s="1350" t="s">
        <v>596</v>
      </c>
      <c r="AA41" s="2286" t="s">
        <v>597</v>
      </c>
      <c r="AB41" s="2287"/>
      <c r="AC41" s="2295"/>
      <c r="AD41" s="2309"/>
      <c r="AE41" s="2311"/>
      <c r="AF41" s="1389" t="s">
        <v>594</v>
      </c>
      <c r="AG41" s="1389" t="s">
        <v>595</v>
      </c>
      <c r="AH41" s="1350" t="s">
        <v>596</v>
      </c>
      <c r="AI41" s="2286" t="s">
        <v>597</v>
      </c>
      <c r="AJ41" s="2287"/>
      <c r="AK41" s="2295"/>
      <c r="AL41" s="2298"/>
      <c r="AM41" s="2143"/>
      <c r="AN41" s="527"/>
      <c r="AO41" s="516"/>
      <c r="AP41" s="516"/>
      <c r="AQ41" s="516"/>
      <c r="AR41" s="516"/>
      <c r="AS41" s="598">
        <v>23</v>
      </c>
    </row>
    <row s="1657" customFormat="1" customHeight="1" ht="11.25" hidden="1">
      <c r="A42" s="1386"/>
      <c r="B42" s="1386"/>
      <c r="C42" s="1386"/>
      <c r="D42" s="1386"/>
      <c r="E42" s="1386"/>
      <c r="F42" s="1386"/>
      <c r="G42" s="1386"/>
      <c r="H42" s="1386"/>
      <c r="I42" s="1386"/>
      <c r="J42" s="1386"/>
      <c r="K42" s="1386"/>
      <c r="L42" s="1380"/>
      <c r="M42" s="1378"/>
      <c r="N42" s="1378"/>
      <c r="O42" s="1378"/>
      <c r="P42" s="1262"/>
      <c r="Q42" s="1263"/>
      <c r="R42" s="1270">
        <v>1</v>
      </c>
      <c r="S42" s="1293" t="s">
        <v>141</v>
      </c>
      <c r="T42" s="1271" t="s">
        <v>107</v>
      </c>
      <c r="U42" s="1261" t="str">
        <f>OFFSET(U42,0,-1)</f>
        <v>2</v>
      </c>
      <c r="V42" s="1351">
        <f>OFFSET(V42,0,-1)+1</f>
        <v>3</v>
      </c>
      <c r="W42" s="1351"/>
      <c r="X42" s="1357">
        <f>OFFSET(X42,0,-1)+1</f>
        <v>1</v>
      </c>
      <c r="Y42" s="1357">
        <f>OFFSET(Y42,0,-1)+1</f>
        <v>2</v>
      </c>
      <c r="Z42" s="1351">
        <f>OFFSET(Z42,0,-1)+1</f>
        <v>3</v>
      </c>
      <c r="AA42" s="2288">
        <f>OFFSET(AA42,0,-1)+1</f>
        <v>4</v>
      </c>
      <c r="AB42" s="2288"/>
      <c r="AC42" s="1351">
        <f>OFFSET(AC42,0,-2)+1</f>
        <v>5</v>
      </c>
      <c r="AD42" s="1351">
        <f>OFFSET(AD42,0,-1)+1</f>
        <v>6</v>
      </c>
      <c r="AE42" s="1351"/>
      <c r="AF42" s="1357">
        <f>OFFSET(AF42,0,-1)+1</f>
        <v>1</v>
      </c>
      <c r="AG42" s="1357">
        <f>OFFSET(AG42,0,-1)+1</f>
        <v>2</v>
      </c>
      <c r="AH42" s="1351">
        <f>OFFSET(AH42,0,-1)+1</f>
        <v>3</v>
      </c>
      <c r="AI42" s="2288">
        <f>OFFSET(AI42,0,-1)+1</f>
        <v>4</v>
      </c>
      <c r="AJ42" s="2288"/>
      <c r="AK42" s="1351">
        <f>OFFSET(AK42,0,-2)+1</f>
        <v>5</v>
      </c>
      <c r="AL42" s="1261">
        <f>OFFSET(AL42,0,-1)</f>
        <v>5</v>
      </c>
      <c r="AM42" s="1351">
        <f>OFFSET(AM42,0,-1)+1</f>
        <v>6</v>
      </c>
      <c r="AN42" s="527"/>
      <c r="AO42" s="527"/>
      <c r="AP42" s="527"/>
      <c r="AQ42" s="527"/>
      <c r="AR42" s="527"/>
      <c r="AS42" s="512">
        <v>0</v>
      </c>
    </row>
    <row customHeight="1" ht="22.049999999999997">
      <c r="A43" s="1379" t="s">
        <v>255</v>
      </c>
      <c r="B43" s="1379"/>
      <c r="C43" s="1379"/>
      <c r="D43" s="1379"/>
      <c r="E43" s="2274">
        <v>1</v>
      </c>
      <c r="F43" s="1379"/>
      <c r="G43" s="1379"/>
      <c r="H43" s="1379"/>
      <c r="I43" s="1379"/>
      <c r="J43" s="1379"/>
      <c r="K43" s="1379"/>
      <c r="L43" s="1380"/>
      <c r="M43" s="1381"/>
      <c r="N43" s="1381"/>
      <c r="O43" s="1381"/>
      <c r="P43" s="377"/>
      <c r="Q43" s="376"/>
      <c r="R43" s="371"/>
      <c r="S43" s="1352">
        <f>INDEX(PT_DIFFERENTIATION_NUM_NTAR,MATCH(A43,PT_DIFFERENTIATION_NTAR_ID,0))</f>
        <v>0</v>
      </c>
      <c r="T43" s="314"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6"/>
      <c r="AP43" s="516" t="str">
        <f>IF(T43="","",T43)</f>
        <v>Наименование тарифа</v>
      </c>
      <c r="AQ43" s="516"/>
      <c r="AR43" s="516"/>
      <c r="AS43" s="1171">
        <v>21</v>
      </c>
    </row>
    <row customHeight="1" ht="22.049999999999997">
      <c r="A44" s="1379" t="s">
        <v>255</v>
      </c>
      <c r="B44" s="1379" t="s">
        <v>256</v>
      </c>
      <c r="C44" s="1379"/>
      <c r="D44" s="1379"/>
      <c r="E44" s="2275"/>
      <c r="F44" s="2274">
        <v>1</v>
      </c>
      <c r="G44" s="1379"/>
      <c r="H44" s="1379"/>
      <c r="I44" s="1379"/>
      <c r="J44" s="1379"/>
      <c r="K44" s="1379"/>
      <c r="L44" s="1380"/>
      <c r="M44" s="1381"/>
      <c r="N44" s="1381"/>
      <c r="O44" s="1381"/>
      <c r="P44" s="1348"/>
      <c r="Q44" s="368"/>
      <c r="R44" s="369"/>
      <c r="S44" s="1352" t="str">
        <f>INDEX(PT_DIFFERENTIATION_NUM_TER,MATCH(B44,PT_DIFFERENTIATION_TER_ID,0))</f>
        <v>.</v>
      </c>
      <c r="T44" s="324"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516"/>
      <c r="AP44" s="516" t="str">
        <f>IF(T44="","",T44)</f>
        <v>Территория действия тарифа</v>
      </c>
      <c r="AQ44" s="516"/>
      <c r="AR44" s="516"/>
      <c r="AS44" s="1171">
        <v>21</v>
      </c>
    </row>
    <row customHeight="1" ht="24">
      <c r="A45" s="1379" t="s">
        <v>255</v>
      </c>
      <c r="B45" s="1379" t="s">
        <v>256</v>
      </c>
      <c r="C45" s="1379" t="s">
        <v>257</v>
      </c>
      <c r="D45" s="1379"/>
      <c r="E45" s="2275"/>
      <c r="F45" s="2275"/>
      <c r="G45" s="2274">
        <v>1</v>
      </c>
      <c r="H45" s="1379"/>
      <c r="I45" s="1379"/>
      <c r="J45" s="1379"/>
      <c r="K45" s="1379"/>
      <c r="L45" s="1380"/>
      <c r="M45" s="1381"/>
      <c r="N45" s="1381"/>
      <c r="O45" s="1381"/>
      <c r="P45" s="370"/>
      <c r="Q45" s="368"/>
      <c r="R45" s="369"/>
      <c r="S45" s="1352"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516"/>
      <c r="AP45" s="516" t="str">
        <f>IF(T45="","",T45)</f>
        <v>Наименование системы теплоснабжения </v>
      </c>
      <c r="AQ45" s="516"/>
      <c r="AR45" s="516"/>
      <c r="AS45" s="1171">
        <v>23</v>
      </c>
    </row>
    <row customHeight="1" ht="22.049999999999997">
      <c r="A46" s="1379" t="s">
        <v>255</v>
      </c>
      <c r="B46" s="1379" t="s">
        <v>256</v>
      </c>
      <c r="C46" s="1379" t="s">
        <v>257</v>
      </c>
      <c r="D46" s="1379" t="s">
        <v>258</v>
      </c>
      <c r="E46" s="2275"/>
      <c r="F46" s="2275"/>
      <c r="G46" s="2275"/>
      <c r="H46" s="2274">
        <v>1</v>
      </c>
      <c r="I46" s="1379"/>
      <c r="J46" s="1379"/>
      <c r="K46" s="1379"/>
      <c r="L46" s="1380"/>
      <c r="M46" s="1381"/>
      <c r="N46" s="1381"/>
      <c r="O46" s="1381"/>
      <c r="P46" s="370"/>
      <c r="Q46" s="368"/>
      <c r="R46" s="369"/>
      <c r="S46" s="1352"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516"/>
      <c r="AP46" s="516" t="str">
        <f>IF(T46="","",T46)</f>
        <v>Источник тепловой энергии  </v>
      </c>
      <c r="AQ46" s="516"/>
      <c r="AR46" s="516"/>
      <c r="AS46" s="1171">
        <v>21</v>
      </c>
    </row>
    <row customHeight="1" ht="49.5">
      <c r="A47" s="1379" t="s">
        <v>255</v>
      </c>
      <c r="B47" s="1379" t="s">
        <v>256</v>
      </c>
      <c r="C47" s="1379" t="s">
        <v>257</v>
      </c>
      <c r="D47" s="1379" t="s">
        <v>258</v>
      </c>
      <c r="E47" s="2275"/>
      <c r="F47" s="2275"/>
      <c r="G47" s="2275"/>
      <c r="H47" s="2275"/>
      <c r="I47" s="2272" t="str">
        <f>S46&amp;".1"</f>
        <v>....1</v>
      </c>
      <c r="J47" s="1379"/>
      <c r="K47" s="1379"/>
      <c r="L47" s="1380" t="s">
        <v>556</v>
      </c>
      <c r="P47" s="2273">
        <v>1</v>
      </c>
      <c r="Q47" s="1347"/>
      <c r="R47" s="372"/>
      <c r="S47" s="1352" t="str">
        <f>$I47</f>
        <v>....1</v>
      </c>
      <c r="T47" s="301" t="s">
        <v>557</v>
      </c>
      <c r="U47" s="316"/>
      <c r="V47" s="2261"/>
      <c r="W47" s="2262"/>
      <c r="X47" s="2262"/>
      <c r="Y47" s="2262"/>
      <c r="Z47" s="2262"/>
      <c r="AA47" s="2262"/>
      <c r="AB47" s="2262"/>
      <c r="AC47" s="2263"/>
      <c r="AD47" s="2261"/>
      <c r="AE47" s="2262"/>
      <c r="AF47" s="2262"/>
      <c r="AG47" s="2262"/>
      <c r="AH47" s="2262"/>
      <c r="AI47" s="2262"/>
      <c r="AJ47" s="2262"/>
      <c r="AK47" s="2262"/>
      <c r="AL47" s="2263"/>
      <c r="AM47" s="1274" t="s">
        <v>558</v>
      </c>
      <c r="AO47" s="516"/>
      <c r="AP47" s="516" t="str">
        <f>IF(T47="","",T47)</f>
        <v>Схема подключения теплопотребляющей установки к коллектору источника тепловой энергии</v>
      </c>
      <c r="AQ47" s="516"/>
      <c r="AR47" s="516"/>
      <c r="AS47" s="1171">
        <v>47</v>
      </c>
    </row>
    <row customHeight="1" ht="22.049999999999997">
      <c r="A48" s="1379" t="s">
        <v>255</v>
      </c>
      <c r="B48" s="1379" t="s">
        <v>256</v>
      </c>
      <c r="C48" s="1379" t="s">
        <v>257</v>
      </c>
      <c r="D48" s="1379" t="s">
        <v>258</v>
      </c>
      <c r="E48" s="2275"/>
      <c r="F48" s="2275"/>
      <c r="G48" s="2275"/>
      <c r="H48" s="2275"/>
      <c r="I48" s="2302"/>
      <c r="J48" s="2272" t="str">
        <f>I47&amp;".1"</f>
        <v>....1.1</v>
      </c>
      <c r="K48" s="1379"/>
      <c r="L48" s="1380" t="s">
        <v>559</v>
      </c>
      <c r="P48" s="2273"/>
      <c r="Q48" s="2273">
        <v>1</v>
      </c>
      <c r="R48" s="373"/>
      <c r="S48" s="1352" t="str">
        <f>$J48</f>
        <v>....1.1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516"/>
      <c r="AP48" s="516" t="str">
        <f>IF(T48="","",T48)</f>
        <v>Группа потребителей</v>
      </c>
      <c r="AQ48" s="516"/>
      <c r="AR48" s="516"/>
      <c r="AS48" s="1171">
        <v>21</v>
      </c>
    </row>
    <row customHeight="1" ht="22.049999999999997">
      <c r="A49" s="1379" t="s">
        <v>255</v>
      </c>
      <c r="B49" s="1379" t="s">
        <v>256</v>
      </c>
      <c r="C49" s="1379" t="s">
        <v>257</v>
      </c>
      <c r="D49" s="1379" t="s">
        <v>258</v>
      </c>
      <c r="E49" s="2275"/>
      <c r="F49" s="2275"/>
      <c r="G49" s="2275"/>
      <c r="H49" s="2275"/>
      <c r="I49" s="2302"/>
      <c r="J49" s="2302"/>
      <c r="K49" s="2272" t="str">
        <f>J48&amp;".1"</f>
        <v>....1.1.1</v>
      </c>
      <c r="L49" s="1380" t="s">
        <v>562</v>
      </c>
      <c r="P49" s="2273"/>
      <c r="Q49" s="2273"/>
      <c r="R49" s="373">
        <v>1</v>
      </c>
      <c r="S49" s="1352" t="str">
        <f>$K49</f>
        <v>....1.1.1</v>
      </c>
      <c r="T49" s="1363"/>
      <c r="U49" s="316"/>
      <c r="V49" s="341"/>
      <c r="W49" s="767"/>
      <c r="X49" s="341"/>
      <c r="Y49" s="400"/>
      <c r="Z49" s="2281"/>
      <c r="AA49" s="2123" t="s">
        <v>64</v>
      </c>
      <c r="AB49" s="2281"/>
      <c r="AC49" s="2123" t="s">
        <v>64</v>
      </c>
      <c r="AD49" s="341"/>
      <c r="AE49" s="767"/>
      <c r="AF49" s="341"/>
      <c r="AG49" s="400"/>
      <c r="AH49" s="2281"/>
      <c r="AI49" s="2123" t="s">
        <v>64</v>
      </c>
      <c r="AJ49" s="2303"/>
      <c r="AK49" s="2123" t="s">
        <v>64</v>
      </c>
      <c r="AL49" s="1364"/>
      <c r="AM49" s="2269" t="s">
        <v>563</v>
      </c>
      <c r="AN49" s="527">
        <f>STRCHECKDATE(V50:AL50)</f>
      </c>
      <c r="AO49" s="516"/>
      <c r="AP49" s="516" t="str">
        <f>IF(T49="","",T49)</f>
        <v/>
      </c>
      <c r="AQ49" s="516"/>
      <c r="AR49" s="516"/>
      <c r="AS49" s="1171">
        <v>21</v>
      </c>
    </row>
    <row customHeight="1" ht="1.05">
      <c r="A50" s="1379" t="s">
        <v>255</v>
      </c>
      <c r="B50" s="1379" t="s">
        <v>256</v>
      </c>
      <c r="C50" s="1379" t="s">
        <v>257</v>
      </c>
      <c r="D50" s="1379" t="s">
        <v>258</v>
      </c>
      <c r="E50" s="2275"/>
      <c r="F50" s="2275"/>
      <c r="G50" s="2275"/>
      <c r="H50" s="2275"/>
      <c r="I50" s="2302"/>
      <c r="J50" s="2302"/>
      <c r="K50" s="2272"/>
      <c r="L50" s="1380"/>
      <c r="P50" s="2273"/>
      <c r="Q50" s="2273"/>
      <c r="R50" s="373"/>
      <c r="S50" s="1358"/>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516"/>
      <c r="AP50" s="516" t="str">
        <f>IF(T50="","",T50)</f>
        <v/>
      </c>
      <c r="AQ50" s="516"/>
      <c r="AR50" s="516"/>
      <c r="AS50" s="1171">
        <v>1</v>
      </c>
    </row>
    <row customHeight="1" ht="11.549999999999999">
      <c r="A51" s="1379" t="s">
        <v>255</v>
      </c>
      <c r="B51" s="1379" t="s">
        <v>256</v>
      </c>
      <c r="C51" s="1379" t="s">
        <v>257</v>
      </c>
      <c r="D51" s="1379" t="s">
        <v>258</v>
      </c>
      <c r="E51" s="2275"/>
      <c r="F51" s="2275"/>
      <c r="G51" s="2275"/>
      <c r="H51" s="2275"/>
      <c r="I51" s="2302"/>
      <c r="J51" s="2272"/>
      <c r="K51" s="1379"/>
      <c r="L51" s="1380"/>
      <c r="P51" s="2273"/>
      <c r="Q51" s="2273"/>
      <c r="R51" s="372"/>
      <c r="S51" s="1294"/>
      <c r="T51" s="304" t="s">
        <v>564</v>
      </c>
      <c r="U51" s="383"/>
      <c r="V51" s="383"/>
      <c r="W51" s="383"/>
      <c r="X51" s="383"/>
      <c r="Y51" s="383"/>
      <c r="Z51" s="383"/>
      <c r="AA51" s="383"/>
      <c r="AB51" s="383"/>
      <c r="AC51" s="383"/>
      <c r="AD51" s="383"/>
      <c r="AE51" s="383"/>
      <c r="AF51" s="383"/>
      <c r="AG51" s="383"/>
      <c r="AH51" s="383"/>
      <c r="AI51" s="383"/>
      <c r="AJ51" s="383"/>
      <c r="AK51" s="383"/>
      <c r="AL51" s="340"/>
      <c r="AM51" s="2271"/>
      <c r="AO51" s="516"/>
      <c r="AP51" s="516" t="str">
        <f>IF(T51="","",T51)</f>
        <v>Добавить вид теплоносителя (параметры теплоносителя)</v>
      </c>
      <c r="AQ51" s="516"/>
      <c r="AR51" s="516"/>
      <c r="AS51" s="1171">
        <v>11</v>
      </c>
    </row>
    <row customHeight="1" ht="11.549999999999999">
      <c r="A52" s="1379" t="s">
        <v>255</v>
      </c>
      <c r="B52" s="1379" t="s">
        <v>256</v>
      </c>
      <c r="C52" s="1379" t="s">
        <v>257</v>
      </c>
      <c r="D52" s="1379" t="s">
        <v>258</v>
      </c>
      <c r="E52" s="2275"/>
      <c r="F52" s="2275"/>
      <c r="G52" s="2275"/>
      <c r="H52" s="2275"/>
      <c r="I52" s="2272"/>
      <c r="J52" s="1379"/>
      <c r="K52" s="1379"/>
      <c r="L52" s="1380"/>
      <c r="P52" s="2273"/>
      <c r="Q52" s="1347"/>
      <c r="R52" s="372"/>
      <c r="S52" s="1294"/>
      <c r="T52" s="303" t="s">
        <v>565</v>
      </c>
      <c r="U52" s="383"/>
      <c r="V52" s="383"/>
      <c r="W52" s="383"/>
      <c r="X52" s="383"/>
      <c r="Y52" s="383"/>
      <c r="Z52" s="383"/>
      <c r="AA52" s="383"/>
      <c r="AB52" s="383"/>
      <c r="AC52" s="382"/>
      <c r="AD52" s="383"/>
      <c r="AE52" s="383"/>
      <c r="AF52" s="383"/>
      <c r="AG52" s="383"/>
      <c r="AH52" s="383"/>
      <c r="AI52" s="383"/>
      <c r="AJ52" s="383"/>
      <c r="AK52" s="382"/>
      <c r="AL52" s="383"/>
      <c r="AM52" s="319"/>
      <c r="AO52" s="516"/>
      <c r="AP52" s="516" t="str">
        <f>IF(T52="","",T52)</f>
        <v>Добавить группу потребителей</v>
      </c>
      <c r="AQ52" s="516"/>
      <c r="AR52" s="516"/>
      <c r="AS52" s="1171">
        <v>11</v>
      </c>
    </row>
    <row customHeight="1" ht="14.699999999999998">
      <c r="A53" s="1379" t="s">
        <v>255</v>
      </c>
      <c r="B53" s="1379" t="s">
        <v>256</v>
      </c>
      <c r="C53" s="1379" t="s">
        <v>257</v>
      </c>
      <c r="D53" s="1379" t="s">
        <v>258</v>
      </c>
      <c r="E53" s="2275"/>
      <c r="F53" s="2275"/>
      <c r="G53" s="2275"/>
      <c r="H53" s="2274"/>
      <c r="I53" s="1379"/>
      <c r="J53" s="1379"/>
      <c r="K53" s="1379"/>
      <c r="L53" s="1380"/>
      <c r="M53" s="1381"/>
      <c r="N53" s="1381"/>
      <c r="O53" s="553"/>
      <c r="P53" s="376"/>
      <c r="Q53" s="391"/>
      <c r="R53" s="371"/>
      <c r="S53" s="1294"/>
      <c r="T53" s="381" t="s">
        <v>566</v>
      </c>
      <c r="U53" s="383"/>
      <c r="V53" s="383"/>
      <c r="W53" s="383"/>
      <c r="X53" s="383"/>
      <c r="Y53" s="383"/>
      <c r="Z53" s="383"/>
      <c r="AA53" s="383"/>
      <c r="AB53" s="383"/>
      <c r="AC53" s="382"/>
      <c r="AD53" s="383"/>
      <c r="AE53" s="383"/>
      <c r="AF53" s="383"/>
      <c r="AG53" s="383"/>
      <c r="AH53" s="383"/>
      <c r="AI53" s="383"/>
      <c r="AJ53" s="383"/>
      <c r="AK53" s="382"/>
      <c r="AL53" s="383"/>
      <c r="AM53" s="319"/>
      <c r="AO53" s="516"/>
      <c r="AP53" s="516" t="str">
        <f>IF(T53="","",T53)</f>
        <v>Добавить схему подключения</v>
      </c>
      <c r="AQ53" s="516"/>
      <c r="AR53" s="516"/>
      <c r="AS53" s="1171">
        <v>14</v>
      </c>
    </row>
    <row s="1658" customFormat="1" customHeight="1" ht="1.05">
      <c r="A54" s="1359" t="s">
        <v>255</v>
      </c>
      <c r="B54" s="1359" t="s">
        <v>256</v>
      </c>
      <c r="C54" s="1359" t="s">
        <v>257</v>
      </c>
      <c r="D54" s="1330"/>
      <c r="E54" s="2275"/>
      <c r="F54" s="2275"/>
      <c r="G54" s="2274"/>
      <c r="H54" s="1330"/>
      <c r="I54" s="1330"/>
      <c r="J54" s="1330"/>
      <c r="K54" s="1330"/>
      <c r="L54" s="1355"/>
      <c r="M54" s="1331"/>
      <c r="N54" s="133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805"/>
      <c r="AP54" s="805" t="str">
        <f>IF(T54="","",T54)</f>
        <v>Добавить источник для дифференциации</v>
      </c>
      <c r="AQ54" s="805"/>
      <c r="AR54" s="805"/>
      <c r="AS54" s="534">
        <v>1</v>
      </c>
    </row>
    <row s="1658" customFormat="1" customHeight="1" ht="1.05">
      <c r="A55" s="1359" t="s">
        <v>255</v>
      </c>
      <c r="B55" s="1359" t="s">
        <v>256</v>
      </c>
      <c r="C55" s="1330"/>
      <c r="D55" s="1330"/>
      <c r="E55" s="2275"/>
      <c r="F55" s="2274"/>
      <c r="G55" s="1330"/>
      <c r="H55" s="1330"/>
      <c r="I55" s="1330"/>
      <c r="J55" s="1330"/>
      <c r="K55" s="1330"/>
      <c r="L55" s="1355"/>
      <c r="M55" s="1337"/>
      <c r="N55" s="133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805"/>
      <c r="AP55" s="805" t="str">
        <f>IF(T55="","",T55)</f>
        <v>Добавить централизованную систему для дифференциации</v>
      </c>
      <c r="AQ55" s="805"/>
      <c r="AR55" s="805"/>
      <c r="AS55" s="534">
        <v>1</v>
      </c>
    </row>
    <row s="1658" customFormat="1" customHeight="1" ht="1.05">
      <c r="A56" s="1359" t="s">
        <v>255</v>
      </c>
      <c r="B56" s="1359"/>
      <c r="C56" s="1359"/>
      <c r="D56" s="1359"/>
      <c r="E56" s="2274"/>
      <c r="F56" s="1359"/>
      <c r="G56" s="1359"/>
      <c r="H56" s="1359"/>
      <c r="I56" s="1359"/>
      <c r="J56" s="1359"/>
      <c r="K56" s="1359"/>
      <c r="L56" s="1362"/>
      <c r="M56" s="1337"/>
      <c r="N56" s="1337"/>
      <c r="O56" s="534"/>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516"/>
      <c r="AP56" s="516" t="str">
        <f>IF(T56="","",T56)</f>
        <v>Добавить территорию для дифференциации</v>
      </c>
      <c r="AQ56" s="516"/>
      <c r="AR56" s="516"/>
      <c r="AS56" s="527">
        <v>1</v>
      </c>
    </row>
    <row s="1658" customFormat="1" customHeight="1" ht="1.05">
      <c r="A57" s="1330"/>
      <c r="B57" s="1330"/>
      <c r="C57" s="1330"/>
      <c r="D57" s="1330"/>
      <c r="E57" s="1359"/>
      <c r="F57" s="1330"/>
      <c r="G57" s="1330"/>
      <c r="H57" s="1330"/>
      <c r="I57" s="1330"/>
      <c r="J57" s="1330"/>
      <c r="K57" s="1330"/>
      <c r="L57" s="1355"/>
      <c r="M57" s="1337"/>
      <c r="N57" s="133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805"/>
      <c r="AP57" s="805" t="str">
        <f>IF(T57="","",T57)</f>
        <v>Добавить наименование тарифа</v>
      </c>
      <c r="AQ57" s="805"/>
      <c r="AR57" s="805"/>
      <c r="AS57" s="534">
        <v>1</v>
      </c>
    </row>
    <row customHeight="1" ht="11.549999999999999">
      <c r="M58" s="1176"/>
      <c r="N58" s="1176"/>
      <c r="O58" s="553"/>
      <c r="P58" s="1171"/>
      <c r="Q58" s="1171"/>
      <c r="R58" s="1171"/>
      <c r="S58" s="1171"/>
      <c r="AN58" s="1171"/>
      <c r="AO58" s="1171"/>
      <c r="AP58" s="1171"/>
      <c r="AQ58" s="1171"/>
      <c r="AR58" s="1171"/>
      <c r="AS58" s="1171">
        <v>11</v>
      </c>
    </row>
    <row customHeight="1" ht="28.5">
      <c r="O59" s="553"/>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71">
        <v>27</v>
      </c>
    </row>
    <row customHeight="1" ht="78.75">
      <c r="O60" s="553"/>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71">
        <v>75</v>
      </c>
    </row>
    <row customHeight="1" ht="14.699999999999998">
      <c r="O61" s="553"/>
      <c r="AS61" s="1171">
        <v>14</v>
      </c>
    </row>
    <row customHeight="1" ht="18.75">
      <c r="O62" s="553"/>
      <c r="S62" s="1269"/>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71">
        <v>18</v>
      </c>
    </row>
    <row customHeight="1" ht="18.75">
      <c r="O63" s="553"/>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71">
        <v>18</v>
      </c>
    </row>
    <row customHeight="1" ht="39.75">
      <c r="O64" s="553"/>
      <c r="S64" s="1269"/>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71">
        <v>38</v>
      </c>
    </row>
    <row customHeight="1" ht="22.5" hidden="1">
      <c r="A65" s="1176" t="s">
        <v>85</v>
      </c>
      <c r="B65" s="1176">
        <v>0</v>
      </c>
      <c r="C65" s="1176">
        <v>0</v>
      </c>
      <c r="D65" s="1176">
        <v>0</v>
      </c>
      <c r="E65" s="1176">
        <v>0</v>
      </c>
      <c r="F65" s="1176">
        <v>0</v>
      </c>
      <c r="G65" s="1176">
        <v>0</v>
      </c>
      <c r="H65" s="1176">
        <v>0</v>
      </c>
      <c r="I65" s="1176">
        <v>0</v>
      </c>
      <c r="J65" s="1176">
        <v>0</v>
      </c>
      <c r="K65" s="1176">
        <v>0</v>
      </c>
      <c r="L65" s="1345">
        <v>0</v>
      </c>
      <c r="M65" s="1378">
        <v>0</v>
      </c>
      <c r="N65" s="1378">
        <v>0</v>
      </c>
      <c r="O65" s="1378">
        <v>0</v>
      </c>
      <c r="P65" s="1344">
        <v>3</v>
      </c>
      <c r="Q65" s="360">
        <v>3</v>
      </c>
      <c r="R65" s="360">
        <v>3</v>
      </c>
      <c r="S65" s="597">
        <v>12</v>
      </c>
      <c r="T65" s="1171">
        <v>31</v>
      </c>
      <c r="U65" s="1171">
        <v>0</v>
      </c>
      <c r="V65" s="1171">
        <v>0</v>
      </c>
      <c r="W65" s="1171">
        <v>0</v>
      </c>
      <c r="X65" s="1171">
        <v>0</v>
      </c>
      <c r="Y65" s="1171">
        <v>0</v>
      </c>
      <c r="Z65" s="1171">
        <v>0</v>
      </c>
      <c r="AA65" s="1171">
        <v>0</v>
      </c>
      <c r="AB65" s="1171">
        <v>0</v>
      </c>
      <c r="AC65" s="1171">
        <v>0</v>
      </c>
      <c r="AD65" s="1171">
        <v>0</v>
      </c>
      <c r="AE65" s="1171">
        <v>24</v>
      </c>
      <c r="AF65" s="1171">
        <v>0</v>
      </c>
      <c r="AG65" s="1171">
        <v>0</v>
      </c>
      <c r="AH65" s="1171">
        <v>11</v>
      </c>
      <c r="AI65" s="1171">
        <v>3</v>
      </c>
      <c r="AJ65" s="1171">
        <v>11</v>
      </c>
      <c r="AK65" s="1171">
        <v>0</v>
      </c>
      <c r="AL65" s="1171">
        <v>4</v>
      </c>
      <c r="AM65" s="1171">
        <v>115</v>
      </c>
      <c r="AN65" s="527">
        <v>10</v>
      </c>
      <c r="AO65" s="527">
        <v>10</v>
      </c>
      <c r="AP65" s="527">
        <v>10</v>
      </c>
      <c r="AQ65" s="527">
        <v>10</v>
      </c>
      <c r="AR65" s="527">
        <v>10</v>
      </c>
      <c r="AS65" s="117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2B5A9-A1E6-44B4-E4FA-C44691B68A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2413" width="3.7109375" hidden="1" customWidth="1"/>
    <col min="17" max="18" style="360" width="3.00390625" customWidth="1"/>
    <col min="19" max="19" style="2423" width="12.00390625" customWidth="1"/>
    <col min="20" max="20" style="1651" width="31.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8.421875" hidden="1" customWidth="1"/>
  </cols>
  <sheetData>
    <row customHeight="1" ht="22.5" hidden="1">
      <c r="Y1" s="343"/>
      <c r="Z1" s="343"/>
      <c r="AG1" s="343"/>
      <c r="AH1" s="343"/>
      <c r="AS1" s="1171" t="s">
        <v>14</v>
      </c>
    </row>
    <row customHeight="1" ht="21" hidden="1">
      <c r="A2" s="1379"/>
      <c r="B2" s="1379"/>
      <c r="C2" s="1379"/>
      <c r="D2" s="1379"/>
      <c r="E2" s="2274">
        <v>1</v>
      </c>
      <c r="F2" s="1379"/>
      <c r="G2" s="1379"/>
      <c r="H2" s="1379"/>
      <c r="I2" s="1379"/>
      <c r="J2" s="1379"/>
      <c r="K2" s="1379"/>
      <c r="L2" s="1380"/>
      <c r="M2" s="1381"/>
      <c r="N2" s="1381"/>
      <c r="O2" s="1381"/>
      <c r="P2" s="377"/>
      <c r="Q2" s="376"/>
      <c r="R2" s="371"/>
      <c r="S2" s="1352">
        <f>INDEX(PT_DIFFERENTIATION_NUM_NTAR,MATCH(A2,PT_DIFFERENTIATION_NTAR_ID,0))</f>
      </c>
      <c r="T2" s="314"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516"/>
      <c r="AP2" s="516" t="str">
        <f>IF(T2="","",T2)</f>
        <v>Наименование тарифа</v>
      </c>
      <c r="AQ2" s="516"/>
      <c r="AR2" s="516"/>
      <c r="AS2" s="1171">
        <v>0</v>
      </c>
    </row>
    <row customHeight="1" ht="21" hidden="1">
      <c r="A3" s="1379"/>
      <c r="B3" s="1379"/>
      <c r="C3" s="1379"/>
      <c r="D3" s="1379"/>
      <c r="E3" s="2275"/>
      <c r="F3" s="2274">
        <v>1</v>
      </c>
      <c r="G3" s="1379"/>
      <c r="H3" s="1379"/>
      <c r="I3" s="1379"/>
      <c r="J3" s="1379"/>
      <c r="K3" s="1379"/>
      <c r="L3" s="1380"/>
      <c r="M3" s="1381"/>
      <c r="N3" s="1381"/>
      <c r="O3" s="1381"/>
      <c r="P3" s="1348"/>
      <c r="Q3" s="368"/>
      <c r="R3" s="369"/>
      <c r="S3" s="1352">
        <f>INDEX(PT_DIFFERENTIATION_NUM_TER,MATCH(B3,PT_DIFFERENTIATION_TER_ID,0))</f>
      </c>
      <c r="T3" s="324"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516"/>
      <c r="AP3" s="516" t="str">
        <f>IF(T3="","",T3)</f>
        <v>Территория действия тарифа</v>
      </c>
      <c r="AQ3" s="516"/>
      <c r="AR3" s="516"/>
      <c r="AS3" s="1171">
        <v>0</v>
      </c>
    </row>
    <row customHeight="1" ht="23.25" hidden="1">
      <c r="A4" s="1379"/>
      <c r="B4" s="1379"/>
      <c r="C4" s="1379"/>
      <c r="D4" s="1379"/>
      <c r="E4" s="2275"/>
      <c r="F4" s="2275"/>
      <c r="G4" s="2274">
        <v>1</v>
      </c>
      <c r="H4" s="1379"/>
      <c r="I4" s="1379"/>
      <c r="J4" s="1379"/>
      <c r="K4" s="1379"/>
      <c r="L4" s="1380"/>
      <c r="M4" s="1381"/>
      <c r="N4" s="1381"/>
      <c r="O4" s="1381"/>
      <c r="P4" s="370"/>
      <c r="Q4" s="368"/>
      <c r="R4" s="369"/>
      <c r="S4" s="1352">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516"/>
      <c r="AP4" s="516" t="str">
        <f>IF(T4="","",T4)</f>
        <v>Наименование системы теплоснабжения </v>
      </c>
      <c r="AQ4" s="516"/>
      <c r="AR4" s="516"/>
      <c r="AS4" s="1171">
        <v>0</v>
      </c>
    </row>
    <row customHeight="1" ht="21" hidden="1">
      <c r="A5" s="1379"/>
      <c r="B5" s="1379"/>
      <c r="C5" s="1379"/>
      <c r="D5" s="1379"/>
      <c r="E5" s="2275"/>
      <c r="F5" s="2275"/>
      <c r="G5" s="2275"/>
      <c r="H5" s="2274">
        <v>1</v>
      </c>
      <c r="I5" s="1379"/>
      <c r="J5" s="1379"/>
      <c r="K5" s="1379"/>
      <c r="L5" s="1380"/>
      <c r="M5" s="1381"/>
      <c r="N5" s="1381"/>
      <c r="O5" s="1381"/>
      <c r="P5" s="370"/>
      <c r="Q5" s="368"/>
      <c r="R5" s="369"/>
      <c r="S5" s="1352">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516"/>
      <c r="AP5" s="516" t="str">
        <f>IF(T5="","",T5)</f>
        <v>Источник тепловой энергии  </v>
      </c>
      <c r="AQ5" s="516"/>
      <c r="AR5" s="516"/>
      <c r="AS5" s="1171">
        <v>0</v>
      </c>
    </row>
    <row customHeight="1" ht="14.25" hidden="1">
      <c r="A6" s="1379"/>
      <c r="B6" s="1379"/>
      <c r="C6" s="1379"/>
      <c r="D6" s="1379"/>
      <c r="E6" s="2275"/>
      <c r="F6" s="2275"/>
      <c r="G6" s="2275"/>
      <c r="H6" s="2275"/>
      <c r="I6" s="2272">
        <f>S5&amp;".1"</f>
      </c>
      <c r="J6" s="1379"/>
      <c r="K6" s="1379"/>
      <c r="L6" s="1380" t="s">
        <v>556</v>
      </c>
      <c r="M6" s="553"/>
      <c r="P6" s="2273">
        <v>1</v>
      </c>
      <c r="Q6" s="1347"/>
      <c r="R6" s="372"/>
      <c r="S6" s="1058"/>
      <c r="T6" s="1399"/>
      <c r="U6" s="1400"/>
      <c r="V6" s="2312"/>
      <c r="W6" s="2313"/>
      <c r="X6" s="2313"/>
      <c r="Y6" s="2313"/>
      <c r="Z6" s="2313"/>
      <c r="AA6" s="2313"/>
      <c r="AB6" s="2313"/>
      <c r="AC6" s="2314"/>
      <c r="AD6" s="2312"/>
      <c r="AE6" s="2313"/>
      <c r="AF6" s="2313"/>
      <c r="AG6" s="2313"/>
      <c r="AH6" s="2313"/>
      <c r="AI6" s="2313"/>
      <c r="AJ6" s="2313"/>
      <c r="AK6" s="2313"/>
      <c r="AL6" s="2314"/>
      <c r="AM6" s="1401"/>
      <c r="AO6" s="516"/>
      <c r="AP6" s="516" t="str">
        <f>IF(T6="","",T6)</f>
        <v/>
      </c>
      <c r="AQ6" s="516"/>
      <c r="AR6" s="516"/>
      <c r="AS6" s="1171">
        <v>0</v>
      </c>
    </row>
    <row customHeight="1" ht="21" hidden="1">
      <c r="A7" s="1379"/>
      <c r="B7" s="1379"/>
      <c r="C7" s="1379"/>
      <c r="D7" s="1379"/>
      <c r="E7" s="2275"/>
      <c r="F7" s="2275"/>
      <c r="G7" s="2275"/>
      <c r="H7" s="2275"/>
      <c r="I7" s="2302"/>
      <c r="J7" s="2272">
        <f>I6&amp;".1"</f>
      </c>
      <c r="K7" s="1379"/>
      <c r="L7" s="1380" t="s">
        <v>559</v>
      </c>
      <c r="M7" s="553"/>
      <c r="N7" s="1382"/>
      <c r="P7" s="2273"/>
      <c r="Q7" s="2273">
        <v>1</v>
      </c>
      <c r="R7" s="373"/>
      <c r="S7" s="1352">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516"/>
      <c r="AP7" s="516" t="str">
        <f>IF(T7="","",T7)</f>
        <v>Группа потребителей</v>
      </c>
      <c r="AQ7" s="516"/>
      <c r="AR7" s="516"/>
      <c r="AS7" s="1171">
        <v>0</v>
      </c>
    </row>
    <row customHeight="1" ht="21" hidden="1">
      <c r="A8" s="1379"/>
      <c r="B8" s="1379"/>
      <c r="C8" s="1379"/>
      <c r="D8" s="1379"/>
      <c r="E8" s="2275"/>
      <c r="F8" s="2275"/>
      <c r="G8" s="2275"/>
      <c r="H8" s="2275"/>
      <c r="I8" s="2302"/>
      <c r="J8" s="2302"/>
      <c r="K8" s="2272">
        <f>J7&amp;".1"</f>
      </c>
      <c r="L8" s="1380" t="s">
        <v>562</v>
      </c>
      <c r="M8" s="553"/>
      <c r="N8" s="1382"/>
      <c r="O8" s="1382"/>
      <c r="P8" s="2273"/>
      <c r="Q8" s="2273"/>
      <c r="R8" s="373">
        <v>1</v>
      </c>
      <c r="S8" s="1352">
        <f>$K8</f>
      </c>
      <c r="T8" s="1363"/>
      <c r="U8" s="316"/>
      <c r="V8" s="767"/>
      <c r="W8" s="341"/>
      <c r="X8" s="767"/>
      <c r="Y8" s="1273"/>
      <c r="Z8" s="2281"/>
      <c r="AA8" s="2123" t="s">
        <v>64</v>
      </c>
      <c r="AB8" s="2281"/>
      <c r="AC8" s="2123" t="s">
        <v>64</v>
      </c>
      <c r="AD8" s="767"/>
      <c r="AE8" s="341"/>
      <c r="AF8" s="767"/>
      <c r="AG8" s="1273"/>
      <c r="AH8" s="2281"/>
      <c r="AI8" s="2123" t="s">
        <v>64</v>
      </c>
      <c r="AJ8" s="2281"/>
      <c r="AK8" s="2123" t="s">
        <v>64</v>
      </c>
      <c r="AL8" s="341"/>
      <c r="AM8" s="2269" t="s">
        <v>563</v>
      </c>
      <c r="AN8" s="527">
        <f>STRCHECKDATE(V9:AL9)</f>
      </c>
      <c r="AO8" s="516"/>
      <c r="AP8" s="516" t="str">
        <f>IF(T8="","",T8)</f>
        <v/>
      </c>
      <c r="AQ8" s="516"/>
      <c r="AR8" s="516"/>
      <c r="AS8" s="1171">
        <v>0</v>
      </c>
    </row>
    <row customHeight="1" ht="0.75" hidden="1">
      <c r="A9" s="1379"/>
      <c r="B9" s="1379"/>
      <c r="C9" s="1379"/>
      <c r="D9" s="1379"/>
      <c r="E9" s="2275"/>
      <c r="F9" s="2275"/>
      <c r="G9" s="2275"/>
      <c r="H9" s="2275"/>
      <c r="I9" s="2302"/>
      <c r="J9" s="2302"/>
      <c r="K9" s="2272"/>
      <c r="L9" s="1380"/>
      <c r="M9" s="553"/>
      <c r="N9" s="1382"/>
      <c r="O9" s="1382"/>
      <c r="P9" s="2273"/>
      <c r="Q9" s="2273"/>
      <c r="R9" s="373"/>
      <c r="S9" s="1358"/>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516"/>
      <c r="AP9" s="516" t="str">
        <f>IF(T9="","",T9)</f>
        <v/>
      </c>
      <c r="AQ9" s="516"/>
      <c r="AR9" s="516"/>
      <c r="AS9" s="1171">
        <v>0</v>
      </c>
    </row>
    <row customHeight="1" ht="15" hidden="1">
      <c r="A10" s="1379"/>
      <c r="B10" s="1379"/>
      <c r="C10" s="1379"/>
      <c r="D10" s="1379"/>
      <c r="E10" s="2275"/>
      <c r="F10" s="2275"/>
      <c r="G10" s="2275"/>
      <c r="H10" s="2275"/>
      <c r="I10" s="2302"/>
      <c r="J10" s="2272"/>
      <c r="K10" s="1379"/>
      <c r="L10" s="1380"/>
      <c r="M10" s="553"/>
      <c r="N10" s="1382"/>
      <c r="P10" s="2273"/>
      <c r="Q10" s="2273"/>
      <c r="R10" s="372"/>
      <c r="S10" s="1294"/>
      <c r="T10" s="303" t="s">
        <v>564</v>
      </c>
      <c r="U10" s="383"/>
      <c r="V10" s="383"/>
      <c r="W10" s="383"/>
      <c r="X10" s="383"/>
      <c r="Y10" s="383"/>
      <c r="Z10" s="383"/>
      <c r="AA10" s="383"/>
      <c r="AB10" s="383"/>
      <c r="AC10" s="383"/>
      <c r="AD10" s="383"/>
      <c r="AE10" s="383"/>
      <c r="AF10" s="383"/>
      <c r="AG10" s="383"/>
      <c r="AH10" s="383"/>
      <c r="AI10" s="383"/>
      <c r="AJ10" s="383"/>
      <c r="AK10" s="383"/>
      <c r="AL10" s="340"/>
      <c r="AM10" s="2271"/>
      <c r="AO10" s="516"/>
      <c r="AP10" s="516" t="str">
        <f>IF(T10="","",T10)</f>
        <v>Добавить вид теплоносителя (параметры теплоносителя)</v>
      </c>
      <c r="AQ10" s="516"/>
      <c r="AR10" s="516"/>
      <c r="AS10" s="1171">
        <v>0</v>
      </c>
    </row>
    <row customHeight="1" ht="15" hidden="1">
      <c r="A11" s="1379"/>
      <c r="B11" s="1379"/>
      <c r="C11" s="1379"/>
      <c r="D11" s="1379"/>
      <c r="E11" s="2275"/>
      <c r="F11" s="2275"/>
      <c r="G11" s="2275"/>
      <c r="H11" s="2275"/>
      <c r="I11" s="2272"/>
      <c r="J11" s="1379"/>
      <c r="K11" s="1379"/>
      <c r="L11" s="1380"/>
      <c r="M11" s="553"/>
      <c r="P11" s="2273"/>
      <c r="Q11" s="1347"/>
      <c r="R11" s="372"/>
      <c r="S11" s="1294"/>
      <c r="T11" s="381" t="s">
        <v>565</v>
      </c>
      <c r="U11" s="383"/>
      <c r="V11" s="383"/>
      <c r="W11" s="383"/>
      <c r="X11" s="383"/>
      <c r="Y11" s="383"/>
      <c r="Z11" s="383"/>
      <c r="AA11" s="383"/>
      <c r="AB11" s="383"/>
      <c r="AC11" s="382"/>
      <c r="AD11" s="383"/>
      <c r="AE11" s="383"/>
      <c r="AF11" s="383"/>
      <c r="AG11" s="383"/>
      <c r="AH11" s="383"/>
      <c r="AI11" s="383"/>
      <c r="AJ11" s="383"/>
      <c r="AK11" s="382"/>
      <c r="AL11" s="383"/>
      <c r="AM11" s="319"/>
      <c r="AO11" s="516"/>
      <c r="AP11" s="516" t="str">
        <f>IF(T11="","",T11)</f>
        <v>Добавить группу потребителей</v>
      </c>
      <c r="AQ11" s="516"/>
      <c r="AR11" s="516"/>
      <c r="AS11" s="1171">
        <v>0</v>
      </c>
    </row>
    <row customHeight="1" ht="14.25" hidden="1">
      <c r="A12" s="1379"/>
      <c r="B12" s="1379"/>
      <c r="C12" s="1379"/>
      <c r="D12" s="1379"/>
      <c r="E12" s="2275"/>
      <c r="F12" s="2275"/>
      <c r="G12" s="2275"/>
      <c r="H12" s="2274"/>
      <c r="I12" s="1379"/>
      <c r="J12" s="1379"/>
      <c r="K12" s="1379"/>
      <c r="L12" s="1380"/>
      <c r="M12" s="1381"/>
      <c r="N12" s="1381"/>
      <c r="O12" s="553"/>
      <c r="P12" s="376"/>
      <c r="Q12" s="391"/>
      <c r="R12" s="371"/>
      <c r="S12" s="1402"/>
      <c r="T12" s="1403"/>
      <c r="U12" s="1404"/>
      <c r="V12" s="1404"/>
      <c r="W12" s="1404"/>
      <c r="X12" s="1404"/>
      <c r="Y12" s="1404"/>
      <c r="Z12" s="1404"/>
      <c r="AA12" s="1404"/>
      <c r="AB12" s="1404"/>
      <c r="AC12" s="1404"/>
      <c r="AD12" s="1404"/>
      <c r="AE12" s="1404"/>
      <c r="AF12" s="1404"/>
      <c r="AG12" s="1404"/>
      <c r="AH12" s="1404"/>
      <c r="AI12" s="1404"/>
      <c r="AJ12" s="1404"/>
      <c r="AK12" s="1404"/>
      <c r="AL12" s="1404"/>
      <c r="AM12" s="1405"/>
      <c r="AO12" s="516"/>
      <c r="AP12" s="516" t="str">
        <f>IF(T12="","",T12)</f>
        <v/>
      </c>
      <c r="AQ12" s="516"/>
      <c r="AR12" s="516"/>
      <c r="AS12" s="1171">
        <v>0</v>
      </c>
    </row>
    <row s="1658" customFormat="1" customHeight="1" ht="0.75" hidden="1">
      <c r="A13" s="1330"/>
      <c r="B13" s="1330"/>
      <c r="C13" s="1330"/>
      <c r="D13" s="1330"/>
      <c r="E13" s="2275"/>
      <c r="F13" s="2275"/>
      <c r="G13" s="2274"/>
      <c r="H13" s="1330"/>
      <c r="I13" s="1330"/>
      <c r="J13" s="1330"/>
      <c r="K13" s="1330"/>
      <c r="L13" s="1355"/>
      <c r="M13" s="1331"/>
      <c r="N13" s="133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805"/>
      <c r="AP13" s="805" t="str">
        <f>IF(T13="","",T13)</f>
        <v>Добавить источник для дифференциации</v>
      </c>
      <c r="AQ13" s="805"/>
      <c r="AR13" s="805"/>
      <c r="AS13" s="534">
        <v>0</v>
      </c>
    </row>
    <row s="1658" customFormat="1" customHeight="1" ht="0.75" hidden="1">
      <c r="A14" s="1330"/>
      <c r="B14" s="1330"/>
      <c r="C14" s="1330"/>
      <c r="D14" s="1330"/>
      <c r="E14" s="2275"/>
      <c r="F14" s="2274"/>
      <c r="G14" s="1330"/>
      <c r="H14" s="1330"/>
      <c r="I14" s="1330"/>
      <c r="J14" s="1330"/>
      <c r="K14" s="1330"/>
      <c r="L14" s="1355"/>
      <c r="M14" s="1337"/>
      <c r="N14" s="133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805"/>
      <c r="AP14" s="805" t="str">
        <f>IF(T14="","",T14)</f>
        <v>Добавить централизованную систему для дифференциации</v>
      </c>
      <c r="AQ14" s="805"/>
      <c r="AR14" s="805"/>
      <c r="AS14" s="534">
        <v>0</v>
      </c>
    </row>
    <row s="1658" customFormat="1" customHeight="1" ht="0.75" hidden="1">
      <c r="A15" s="1330"/>
      <c r="B15" s="1330"/>
      <c r="C15" s="1330"/>
      <c r="D15" s="1330"/>
      <c r="E15" s="2274"/>
      <c r="F15" s="1330"/>
      <c r="G15" s="1330"/>
      <c r="H15" s="1330"/>
      <c r="I15" s="1330"/>
      <c r="J15" s="1330"/>
      <c r="K15" s="1330"/>
      <c r="L15" s="1355"/>
      <c r="M15" s="1337"/>
      <c r="N15" s="133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805"/>
      <c r="AP15" s="805" t="str">
        <f>IF(T15="","",T15)</f>
        <v>Добавить территорию для дифференциации</v>
      </c>
      <c r="AQ15" s="805"/>
      <c r="AR15" s="805"/>
      <c r="AS15" s="534">
        <v>0</v>
      </c>
    </row>
    <row customHeight="1" ht="14.25" hidden="1">
      <c r="AC16" s="343"/>
      <c r="AK16" s="343"/>
      <c r="AS16" s="1171">
        <v>0</v>
      </c>
    </row>
    <row customHeight="1" ht="14.25" hidden="1">
      <c r="AD17" s="1376"/>
      <c r="AE17" s="1376"/>
      <c r="AF17" s="1376"/>
      <c r="AG17" s="1377"/>
      <c r="AH17" s="2283"/>
      <c r="AI17" s="2284" t="s">
        <v>64</v>
      </c>
      <c r="AJ17" s="2283"/>
      <c r="AK17" s="2284" t="s">
        <v>64</v>
      </c>
      <c r="AS17" s="1171">
        <v>0</v>
      </c>
    </row>
    <row customHeight="1" ht="14.25" hidden="1">
      <c r="AD18" s="1376"/>
      <c r="AE18" s="1376"/>
      <c r="AF18" s="1376"/>
      <c r="AG18" s="344" t="str">
        <f>AH17&amp;"-"&amp;AJ17</f>
        <v>-</v>
      </c>
      <c r="AH18" s="2284"/>
      <c r="AI18" s="2284"/>
      <c r="AJ18" s="2284"/>
      <c r="AK18" s="2284"/>
      <c r="AS18" s="1171">
        <v>0</v>
      </c>
    </row>
    <row customHeight="1" ht="14.25" hidden="1">
      <c r="AK19" s="343"/>
      <c r="AS19" s="1171">
        <v>0</v>
      </c>
    </row>
    <row s="1382" customFormat="1" customHeight="1" ht="22.5" hidden="1">
      <c r="L20" s="1345"/>
      <c r="M20" s="1378"/>
      <c r="N20" s="1378"/>
      <c r="O20" s="1383" t="s">
        <v>567</v>
      </c>
      <c r="P20" s="1378"/>
      <c r="Q20" s="1387"/>
      <c r="R20" s="1387"/>
      <c r="S20" s="745"/>
      <c r="Z20" s="1383"/>
      <c r="AB20" s="1383"/>
      <c r="AC20" s="1382"/>
      <c r="AH20" s="1383"/>
      <c r="AJ20" s="1383"/>
      <c r="AK20" s="1382"/>
      <c r="AN20" s="527"/>
      <c r="AO20" s="527"/>
      <c r="AP20" s="527"/>
      <c r="AQ20" s="527"/>
      <c r="AR20" s="527"/>
      <c r="AS20" s="1176">
        <v>0</v>
      </c>
    </row>
    <row s="1382" customFormat="1" customHeight="1" ht="14.25" hidden="1">
      <c r="L21" s="1345"/>
      <c r="M21" s="1378"/>
      <c r="N21" s="1378"/>
      <c r="O21" s="1378"/>
      <c r="P21" s="1378"/>
      <c r="Q21" s="1387"/>
      <c r="R21" s="1387"/>
      <c r="S21" s="745"/>
      <c r="AC21" s="1382"/>
      <c r="AK21" s="1382"/>
      <c r="AN21" s="527"/>
      <c r="AO21" s="527"/>
      <c r="AP21" s="527"/>
      <c r="AQ21" s="527"/>
      <c r="AR21" s="527"/>
      <c r="AS21" s="1176">
        <v>0</v>
      </c>
    </row>
    <row s="1382" customFormat="1" customHeight="1" ht="14.25" hidden="1">
      <c r="L22" s="1345"/>
      <c r="M22" s="1378"/>
      <c r="N22" s="1378"/>
      <c r="O22" s="1380" t="s">
        <v>568</v>
      </c>
      <c r="P22" s="1378"/>
      <c r="Q22" s="1387"/>
      <c r="R22" s="1387"/>
      <c r="S22" s="745"/>
      <c r="T22" s="1176" t="s">
        <v>569</v>
      </c>
      <c r="AA22" s="202" t="s">
        <v>570</v>
      </c>
      <c r="AC22" s="202" t="s">
        <v>571</v>
      </c>
      <c r="AD22" s="1176" t="s">
        <v>569</v>
      </c>
      <c r="AI22" s="202" t="s">
        <v>572</v>
      </c>
      <c r="AK22" s="202" t="s">
        <v>571</v>
      </c>
      <c r="AN22" s="527"/>
      <c r="AO22" s="527"/>
      <c r="AP22" s="527"/>
      <c r="AQ22" s="527"/>
      <c r="AR22" s="527"/>
      <c r="AS22" s="1176">
        <v>0</v>
      </c>
    </row>
    <row customHeight="1" ht="14.25" hidden="1">
      <c r="O23" s="1380"/>
      <c r="AS23" s="1171">
        <v>0</v>
      </c>
    </row>
    <row customHeight="1" ht="14.25" hidden="1">
      <c r="O24" s="1380"/>
      <c r="AS24" s="1171">
        <v>0</v>
      </c>
    </row>
    <row customHeight="1" ht="14.699999999999998">
      <c r="Q25" s="392"/>
      <c r="R25" s="392"/>
      <c r="S25" s="1291"/>
      <c r="T25" s="379"/>
      <c r="U25" s="379"/>
      <c r="V25" s="525"/>
      <c r="W25" s="525"/>
      <c r="X25" s="525"/>
      <c r="Y25" s="525"/>
      <c r="Z25" s="525"/>
      <c r="AA25" s="525"/>
      <c r="AB25" s="525"/>
      <c r="AC25" s="525"/>
      <c r="AD25" s="525"/>
      <c r="AE25" s="525"/>
      <c r="AF25" s="525"/>
      <c r="AG25" s="525"/>
      <c r="AH25" s="525"/>
      <c r="AI25" s="525"/>
      <c r="AJ25" s="525"/>
      <c r="AK25" s="525"/>
      <c r="AS25" s="1171">
        <v>14</v>
      </c>
    </row>
    <row customHeight="1" ht="63">
      <c r="Q26" s="392"/>
      <c r="R26" s="392"/>
      <c r="S26" s="226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59"/>
      <c r="AS26" s="1171">
        <v>60</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171">
        <v>14</v>
      </c>
    </row>
    <row customHeight="1" ht="14.25">
      <c r="Q28" s="392"/>
      <c r="R28" s="392"/>
      <c r="S28" s="1291"/>
      <c r="T28" s="379"/>
      <c r="U28" s="379"/>
      <c r="V28" s="338"/>
      <c r="W28" s="338"/>
      <c r="X28" s="338"/>
      <c r="Y28" s="338"/>
      <c r="Z28" s="338"/>
      <c r="AA28" s="338"/>
      <c r="AB28" s="338"/>
      <c r="AC28" s="338"/>
      <c r="AD28" s="338"/>
      <c r="AE28" s="338"/>
      <c r="AF28" s="338"/>
      <c r="AG28" s="338"/>
      <c r="AH28" s="338"/>
      <c r="AI28" s="338"/>
      <c r="AJ28" s="338"/>
      <c r="AK28" s="338"/>
      <c r="AL28" s="525"/>
      <c r="AS28" s="1171">
        <v>0</v>
      </c>
    </row>
    <row s="1869" customFormat="1" customHeight="1" ht="25.5">
      <c r="A29" s="1384"/>
      <c r="B29" s="1384"/>
      <c r="C29" s="1384"/>
      <c r="D29" s="1384"/>
      <c r="E29" s="1384"/>
      <c r="F29" s="1384"/>
      <c r="G29" s="1384"/>
      <c r="H29" s="1384"/>
      <c r="I29" s="1384"/>
      <c r="J29" s="1384"/>
      <c r="K29" s="1384"/>
      <c r="L29" s="1385"/>
      <c r="M29" s="1384"/>
      <c r="N29" s="1384"/>
      <c r="O29" s="138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342"/>
      <c r="AD29" s="2267" t="str">
        <f>IF(TITLE_NAME_OR_PR_CHANGE="",IF(TITLE_NAME_OR_PR="","",TITLE_NAME_OR_PR),TITLE_NAME_OR_PR_CHANGE)</f>
        <v>Агентство по тарифам Приморского края</v>
      </c>
      <c r="AE29" s="2267"/>
      <c r="AF29" s="2267"/>
      <c r="AG29" s="2267"/>
      <c r="AH29" s="2267"/>
      <c r="AI29" s="2267"/>
      <c r="AJ29" s="2267"/>
      <c r="AK29" s="342"/>
      <c r="AL29" s="342"/>
      <c r="AM29" s="296"/>
      <c r="AN29" s="384"/>
      <c r="AO29" s="384"/>
      <c r="AP29" s="384"/>
      <c r="AQ29" s="384"/>
      <c r="AR29" s="384"/>
      <c r="AS29" s="434">
        <v>0</v>
      </c>
    </row>
    <row s="1869" customFormat="1" customHeight="1" ht="18.75">
      <c r="A30" s="1384"/>
      <c r="B30" s="1384"/>
      <c r="C30" s="1384"/>
      <c r="D30" s="1384"/>
      <c r="E30" s="1384"/>
      <c r="F30" s="1384"/>
      <c r="G30" s="1384"/>
      <c r="H30" s="1384"/>
      <c r="I30" s="1384"/>
      <c r="J30" s="1384"/>
      <c r="K30" s="1384"/>
      <c r="L30" s="1385"/>
      <c r="M30" s="1384"/>
      <c r="N30" s="1384"/>
      <c r="O30" s="1384"/>
      <c r="S30" s="2266" t="s">
        <v>573</v>
      </c>
      <c r="T30" s="2266"/>
      <c r="U30" s="1388"/>
      <c r="V30" s="2280" t="str">
        <f>IF(TITLE_DATE_PR_CHANGE="",IF(TITLE_DATE_PR="","",TITLE_DATE_PR),TITLE_DATE_PR_CHANGE)</f>
        <v>45910</v>
      </c>
      <c r="W30" s="2280"/>
      <c r="X30" s="2280"/>
      <c r="Y30" s="2280"/>
      <c r="Z30" s="2280"/>
      <c r="AA30" s="2280"/>
      <c r="AB30" s="2280"/>
      <c r="AC30" s="342"/>
      <c r="AD30" s="2280" t="str">
        <f>IF(TITLE_DATE_PR_CHANGE="",IF(TITLE_DATE_PR="","",TITLE_DATE_PR),TITLE_DATE_PR_CHANGE)</f>
        <v>45910</v>
      </c>
      <c r="AE30" s="2280"/>
      <c r="AF30" s="2280"/>
      <c r="AG30" s="2280"/>
      <c r="AH30" s="2280"/>
      <c r="AI30" s="2280"/>
      <c r="AJ30" s="2280"/>
      <c r="AK30" s="342"/>
      <c r="AL30" s="342"/>
      <c r="AM30" s="296"/>
      <c r="AN30" s="384"/>
      <c r="AO30" s="384"/>
      <c r="AP30" s="384"/>
      <c r="AQ30" s="384"/>
      <c r="AR30" s="384"/>
      <c r="AS30" s="434">
        <v>0</v>
      </c>
    </row>
    <row s="1869" customFormat="1" customHeight="1" ht="18.75">
      <c r="A31" s="1384"/>
      <c r="B31" s="1384"/>
      <c r="C31" s="1384"/>
      <c r="D31" s="1384"/>
      <c r="E31" s="1384"/>
      <c r="F31" s="1384"/>
      <c r="G31" s="1384"/>
      <c r="H31" s="1384"/>
      <c r="I31" s="1384"/>
      <c r="J31" s="1384"/>
      <c r="K31" s="1384"/>
      <c r="L31" s="1385"/>
      <c r="M31" s="1384"/>
      <c r="N31" s="1384"/>
      <c r="O31" s="1384"/>
      <c r="S31" s="2266" t="s">
        <v>574</v>
      </c>
      <c r="T31" s="2266"/>
      <c r="U31" s="1388"/>
      <c r="V31" s="2267" t="str">
        <f>IF(TITLE_NUMBER_PR_CHANGE="",IF(TITLE_NUMBER_PR="","",TITLE_NUMBER_PR),TITLE_NUMBER_PR_CHANGE)</f>
        <v>37/2</v>
      </c>
      <c r="W31" s="2267"/>
      <c r="X31" s="2267"/>
      <c r="Y31" s="2267"/>
      <c r="Z31" s="2267"/>
      <c r="AA31" s="2267"/>
      <c r="AB31" s="2267"/>
      <c r="AC31" s="342"/>
      <c r="AD31" s="2267" t="str">
        <f>IF(TITLE_NUMBER_PR_CHANGE="",IF(TITLE_NUMBER_PR="","",TITLE_NUMBER_PR),TITLE_NUMBER_PR_CHANGE)</f>
        <v>37/2</v>
      </c>
      <c r="AE31" s="2267"/>
      <c r="AF31" s="2267"/>
      <c r="AG31" s="2267"/>
      <c r="AH31" s="2267"/>
      <c r="AI31" s="2267"/>
      <c r="AJ31" s="2267"/>
      <c r="AK31" s="342"/>
      <c r="AL31" s="342"/>
      <c r="AM31" s="296"/>
      <c r="AN31" s="384"/>
      <c r="AO31" s="384"/>
      <c r="AP31" s="384"/>
      <c r="AQ31" s="384"/>
      <c r="AR31" s="384"/>
      <c r="AS31" s="434">
        <v>0</v>
      </c>
    </row>
    <row s="1869" customFormat="1" customHeight="1" ht="18.75">
      <c r="A32" s="1384"/>
      <c r="B32" s="1384"/>
      <c r="C32" s="1384"/>
      <c r="D32" s="1384"/>
      <c r="E32" s="1384"/>
      <c r="F32" s="1384"/>
      <c r="G32" s="1384"/>
      <c r="H32" s="1384"/>
      <c r="I32" s="1384"/>
      <c r="J32" s="1384"/>
      <c r="K32" s="1384"/>
      <c r="L32" s="1385"/>
      <c r="M32" s="1384"/>
      <c r="N32" s="1384"/>
      <c r="O32" s="1384"/>
      <c r="S32" s="2266" t="s">
        <v>44</v>
      </c>
      <c r="T32" s="2266"/>
      <c r="U32" s="1388"/>
      <c r="V32" s="2267" t="str">
        <f>IF(TITLE_IST_PUB_CHANGE="",IF(TITLE_IST_PUB="","",TITLE_IST_PUB),TITLE_IST_PUB_CHANGE)</f>
        <v>http://pravo.gov.ru</v>
      </c>
      <c r="W32" s="2267"/>
      <c r="X32" s="2267"/>
      <c r="Y32" s="2267"/>
      <c r="Z32" s="2267"/>
      <c r="AA32" s="2267"/>
      <c r="AB32" s="2267"/>
      <c r="AC32" s="342"/>
      <c r="AD32" s="2267" t="str">
        <f>IF(TITLE_IST_PUB_CHANGE="",IF(TITLE_IST_PUB="","",TITLE_IST_PUB),TITLE_IST_PUB_CHANGE)</f>
        <v>http://pravo.gov.ru</v>
      </c>
      <c r="AE32" s="2267"/>
      <c r="AF32" s="2267"/>
      <c r="AG32" s="2267"/>
      <c r="AH32" s="2267"/>
      <c r="AI32" s="2267"/>
      <c r="AJ32" s="2267"/>
      <c r="AK32" s="342"/>
      <c r="AL32" s="342"/>
      <c r="AM32" s="296"/>
      <c r="AN32" s="384"/>
      <c r="AO32" s="384"/>
      <c r="AP32" s="384"/>
      <c r="AQ32" s="384"/>
      <c r="AR32" s="384"/>
      <c r="AS32" s="434">
        <v>0</v>
      </c>
    </row>
    <row customHeight="1" ht="14.25" hidden="1">
      <c r="Q33" s="392"/>
      <c r="R33" s="392"/>
      <c r="S33" s="1291"/>
      <c r="T33" s="379"/>
      <c r="U33" s="379"/>
      <c r="V33" s="338"/>
      <c r="W33" s="338"/>
      <c r="X33" s="338"/>
      <c r="Y33" s="338"/>
      <c r="Z33" s="338"/>
      <c r="AA33" s="338"/>
      <c r="AB33" s="338"/>
      <c r="AC33" s="338"/>
      <c r="AD33" s="338"/>
      <c r="AE33" s="338"/>
      <c r="AF33" s="338"/>
      <c r="AG33" s="338"/>
      <c r="AH33" s="338"/>
      <c r="AI33" s="338"/>
      <c r="AJ33" s="338"/>
      <c r="AK33" s="338"/>
      <c r="AL33" s="525"/>
      <c r="AS33" s="1171">
        <v>0</v>
      </c>
    </row>
    <row s="1869" customFormat="1" customHeight="1" ht="18.75" hidden="1">
      <c r="A34" s="1384"/>
      <c r="B34" s="1384"/>
      <c r="C34" s="1384"/>
      <c r="D34" s="1384"/>
      <c r="E34" s="1384"/>
      <c r="F34" s="1384"/>
      <c r="G34" s="1384"/>
      <c r="H34" s="1384"/>
      <c r="I34" s="1384"/>
      <c r="J34" s="1384"/>
      <c r="K34" s="1384"/>
      <c r="L34" s="1385"/>
      <c r="M34" s="1384"/>
      <c r="N34" s="1384"/>
      <c r="O34" s="1384"/>
      <c r="S34" s="2266" t="s">
        <v>575</v>
      </c>
      <c r="T34" s="2266"/>
      <c r="U34" s="1388"/>
      <c r="V34" s="2280" t="str">
        <f>IF(TITLE_DATE_PR_CHANGE="",IF(TITLE_DATE_PR="","",TITLE_DATE_PR),TITLE_DATE_PR_CHANGE)</f>
        <v>45910</v>
      </c>
      <c r="W34" s="2280"/>
      <c r="X34" s="2280"/>
      <c r="Y34" s="2280"/>
      <c r="Z34" s="2280"/>
      <c r="AA34" s="2280"/>
      <c r="AB34" s="2280"/>
      <c r="AC34" s="342"/>
      <c r="AD34" s="2280" t="str">
        <f>IF(TITLE_DATE_PR_CHANGE="",IF(TITLE_DATE_PR="","",TITLE_DATE_PR),TITLE_DATE_PR_CHANGE)</f>
        <v>45910</v>
      </c>
      <c r="AE34" s="2280"/>
      <c r="AF34" s="2280"/>
      <c r="AG34" s="2280"/>
      <c r="AH34" s="2280"/>
      <c r="AI34" s="2280"/>
      <c r="AJ34" s="2280"/>
      <c r="AK34" s="342"/>
      <c r="AL34" s="342"/>
      <c r="AM34" s="296"/>
      <c r="AN34" s="384"/>
      <c r="AO34" s="384"/>
      <c r="AP34" s="384"/>
      <c r="AQ34" s="384"/>
      <c r="AR34" s="384"/>
      <c r="AS34" s="434">
        <v>0</v>
      </c>
    </row>
    <row s="1869" customFormat="1" customHeight="1" ht="18.75" hidden="1">
      <c r="A35" s="1384"/>
      <c r="B35" s="1384"/>
      <c r="C35" s="1384"/>
      <c r="D35" s="1384"/>
      <c r="E35" s="1384"/>
      <c r="F35" s="1384"/>
      <c r="G35" s="1384"/>
      <c r="H35" s="1384"/>
      <c r="I35" s="1384"/>
      <c r="J35" s="1384"/>
      <c r="K35" s="1384"/>
      <c r="L35" s="1385"/>
      <c r="M35" s="1384"/>
      <c r="N35" s="1384"/>
      <c r="O35" s="1384"/>
      <c r="S35" s="2266" t="s">
        <v>576</v>
      </c>
      <c r="T35" s="2266"/>
      <c r="U35" s="1388"/>
      <c r="V35" s="2267" t="str">
        <f>IF(TITLE_NUMBER_PR_CHANGE="",IF(TITLE_NUMBER_PR="","",TITLE_NUMBER_PR),TITLE_NUMBER_PR_CHANGE)</f>
        <v>37/2</v>
      </c>
      <c r="W35" s="2267"/>
      <c r="X35" s="2267"/>
      <c r="Y35" s="2267"/>
      <c r="Z35" s="2267"/>
      <c r="AA35" s="2267"/>
      <c r="AB35" s="2267"/>
      <c r="AC35" s="342"/>
      <c r="AD35" s="2267" t="str">
        <f>IF(TITLE_NUMBER_PR_CHANGE="",IF(TITLE_NUMBER_PR="","",TITLE_NUMBER_PR),TITLE_NUMBER_PR_CHANGE)</f>
        <v>37/2</v>
      </c>
      <c r="AE35" s="2267"/>
      <c r="AF35" s="2267"/>
      <c r="AG35" s="2267"/>
      <c r="AH35" s="2267"/>
      <c r="AI35" s="2267"/>
      <c r="AJ35" s="2267"/>
      <c r="AK35" s="342"/>
      <c r="AL35" s="342"/>
      <c r="AM35" s="296"/>
      <c r="AN35" s="384"/>
      <c r="AO35" s="384"/>
      <c r="AP35" s="384"/>
      <c r="AQ35" s="384"/>
      <c r="AR35" s="384"/>
      <c r="AS35" s="434">
        <v>0</v>
      </c>
    </row>
    <row s="1869" customFormat="1" customHeight="1" ht="0">
      <c r="A36" s="1384"/>
      <c r="B36" s="1384"/>
      <c r="C36" s="1384"/>
      <c r="D36" s="1384"/>
      <c r="E36" s="1384"/>
      <c r="F36" s="1384"/>
      <c r="G36" s="1384"/>
      <c r="H36" s="1384"/>
      <c r="I36" s="1384"/>
      <c r="J36" s="1384"/>
      <c r="K36" s="1384"/>
      <c r="L36" s="1385"/>
      <c r="M36" s="1384"/>
      <c r="N36" s="1384"/>
      <c r="O36" s="1384"/>
      <c r="S36" s="339"/>
      <c r="T36" s="339"/>
      <c r="U36" s="1356"/>
      <c r="V36" s="342"/>
      <c r="W36" s="342"/>
      <c r="X36" s="342"/>
      <c r="Y36" s="342"/>
      <c r="Z36" s="342"/>
      <c r="AA36" s="342"/>
      <c r="AB36" s="342"/>
      <c r="AC36" s="294" t="s">
        <v>577</v>
      </c>
      <c r="AD36" s="342"/>
      <c r="AE36" s="342"/>
      <c r="AF36" s="342"/>
      <c r="AG36" s="342"/>
      <c r="AH36" s="342"/>
      <c r="AI36" s="342"/>
      <c r="AJ36" s="342"/>
      <c r="AK36" s="294" t="s">
        <v>577</v>
      </c>
      <c r="AN36" s="384"/>
      <c r="AO36" s="384"/>
      <c r="AP36" s="384"/>
      <c r="AQ36" s="384"/>
      <c r="AR36" s="384"/>
      <c r="AS36" s="434">
        <v>0</v>
      </c>
    </row>
    <row customHeight="1" ht="14.699999999999998">
      <c r="Q37" s="392"/>
      <c r="R37" s="392"/>
      <c r="S37" s="1291"/>
      <c r="T37" s="379"/>
      <c r="U37" s="1260"/>
      <c r="V37" s="2268"/>
      <c r="W37" s="2268"/>
      <c r="X37" s="2268"/>
      <c r="Y37" s="2268"/>
      <c r="Z37" s="2268"/>
      <c r="AA37" s="2268"/>
      <c r="AB37" s="2268"/>
      <c r="AC37" s="2268"/>
      <c r="AD37" s="2268"/>
      <c r="AE37" s="2268"/>
      <c r="AF37" s="2268"/>
      <c r="AG37" s="2268"/>
      <c r="AH37" s="2268"/>
      <c r="AI37" s="2268"/>
      <c r="AJ37" s="2268"/>
      <c r="AK37" s="2268"/>
      <c r="AS37" s="1171">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171">
        <v>14</v>
      </c>
    </row>
    <row customHeight="1" ht="14.699999999999998">
      <c r="Q39" s="392"/>
      <c r="R39" s="392"/>
      <c r="S39" s="2289" t="s">
        <v>91</v>
      </c>
      <c r="T39" s="2225" t="s">
        <v>578</v>
      </c>
      <c r="U39" s="317"/>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171">
        <v>14</v>
      </c>
    </row>
    <row customHeight="1" ht="35.699999999999996">
      <c r="Q40" s="392"/>
      <c r="R40" s="392"/>
      <c r="S40" s="2289"/>
      <c r="T40" s="2225"/>
      <c r="U40" s="1047"/>
      <c r="V40" s="2276" t="s">
        <v>583</v>
      </c>
      <c r="W40" s="2299"/>
      <c r="X40" s="2278" t="s">
        <v>585</v>
      </c>
      <c r="Y40" s="2279"/>
      <c r="Z40" s="2278" t="s">
        <v>586</v>
      </c>
      <c r="AA40" s="2285"/>
      <c r="AB40" s="2279"/>
      <c r="AC40" s="2294"/>
      <c r="AD40" s="2276" t="s">
        <v>599</v>
      </c>
      <c r="AE40" s="2299"/>
      <c r="AF40" s="2278" t="s">
        <v>585</v>
      </c>
      <c r="AG40" s="2279"/>
      <c r="AH40" s="2278" t="s">
        <v>586</v>
      </c>
      <c r="AI40" s="2285"/>
      <c r="AJ40" s="2279"/>
      <c r="AK40" s="2294"/>
      <c r="AL40" s="2297"/>
      <c r="AM40" s="2143"/>
      <c r="AS40" s="1171">
        <v>34</v>
      </c>
    </row>
    <row customHeight="1" ht="35.699999999999996">
      <c r="A41" s="1386"/>
      <c r="B41" s="1386" t="s">
        <v>204</v>
      </c>
      <c r="C41" s="1386" t="s">
        <v>205</v>
      </c>
      <c r="D41" s="1386" t="s">
        <v>206</v>
      </c>
      <c r="E41" s="1380" t="s">
        <v>587</v>
      </c>
      <c r="F41" s="1380" t="s">
        <v>588</v>
      </c>
      <c r="G41" s="1380" t="s">
        <v>589</v>
      </c>
      <c r="H41" s="1380" t="s">
        <v>590</v>
      </c>
      <c r="I41" s="1380" t="s">
        <v>591</v>
      </c>
      <c r="J41" s="1380" t="s">
        <v>592</v>
      </c>
      <c r="K41" s="1380" t="s">
        <v>593</v>
      </c>
      <c r="L41" s="1380" t="s">
        <v>568</v>
      </c>
      <c r="Q41" s="392"/>
      <c r="R41" s="392"/>
      <c r="S41" s="2289"/>
      <c r="T41" s="2225"/>
      <c r="U41" s="318"/>
      <c r="V41" s="2277"/>
      <c r="W41" s="2300"/>
      <c r="X41" s="1238" t="s">
        <v>594</v>
      </c>
      <c r="Y41" s="1238" t="s">
        <v>595</v>
      </c>
      <c r="Z41" s="1354" t="s">
        <v>596</v>
      </c>
      <c r="AA41" s="2286" t="s">
        <v>597</v>
      </c>
      <c r="AB41" s="2287"/>
      <c r="AC41" s="2295"/>
      <c r="AD41" s="2277"/>
      <c r="AE41" s="2300"/>
      <c r="AF41" s="1238" t="s">
        <v>594</v>
      </c>
      <c r="AG41" s="1238" t="s">
        <v>595</v>
      </c>
      <c r="AH41" s="1354" t="s">
        <v>596</v>
      </c>
      <c r="AI41" s="2286" t="s">
        <v>597</v>
      </c>
      <c r="AJ41" s="2287"/>
      <c r="AK41" s="2295"/>
      <c r="AL41" s="2298"/>
      <c r="AM41" s="2143"/>
      <c r="AS41" s="1171">
        <v>34</v>
      </c>
    </row>
    <row s="1657" customFormat="1" customHeight="1" ht="11.25" hidden="1">
      <c r="A42" s="1386"/>
      <c r="B42" s="1386"/>
      <c r="C42" s="1386"/>
      <c r="D42" s="1386"/>
      <c r="E42" s="1386"/>
      <c r="F42" s="1386"/>
      <c r="G42" s="1386"/>
      <c r="H42" s="1386"/>
      <c r="I42" s="1386"/>
      <c r="J42" s="1386"/>
      <c r="K42" s="1386"/>
      <c r="L42" s="1380"/>
      <c r="M42" s="1378"/>
      <c r="N42" s="1378"/>
      <c r="O42" s="1378"/>
      <c r="P42" s="1262"/>
      <c r="Q42" s="1263"/>
      <c r="R42" s="1270">
        <v>1</v>
      </c>
      <c r="S42" s="1293" t="s">
        <v>141</v>
      </c>
      <c r="T42" s="1271" t="s">
        <v>107</v>
      </c>
      <c r="U42" s="1261" t="str">
        <f>OFFSET(U42,0,-1)</f>
        <v>2</v>
      </c>
      <c r="V42" s="1351">
        <f>OFFSET(V42,0,-1)+1</f>
        <v>3</v>
      </c>
      <c r="W42" s="1351"/>
      <c r="X42" s="1351">
        <f>OFFSET(X42,0,-1)+1</f>
        <v>1</v>
      </c>
      <c r="Y42" s="1351">
        <f>OFFSET(Y42,0,-1)+1</f>
        <v>2</v>
      </c>
      <c r="Z42" s="1351">
        <f>OFFSET(Z42,0,-1)+1</f>
        <v>3</v>
      </c>
      <c r="AA42" s="2288">
        <f>OFFSET(AA42,0,-1)+1</f>
        <v>4</v>
      </c>
      <c r="AB42" s="2288"/>
      <c r="AC42" s="1351">
        <f>OFFSET(AC42,0,-2)+1</f>
        <v>5</v>
      </c>
      <c r="AD42" s="1351">
        <f>OFFSET(AD42,0,-1)+1</f>
        <v>6</v>
      </c>
      <c r="AE42" s="1351"/>
      <c r="AF42" s="1351">
        <f>OFFSET(AF42,0,-1)+1</f>
        <v>1</v>
      </c>
      <c r="AG42" s="1351">
        <f>OFFSET(AG42,0,-1)+1</f>
        <v>2</v>
      </c>
      <c r="AH42" s="1351">
        <f>OFFSET(AH42,0,-1)+1</f>
        <v>3</v>
      </c>
      <c r="AI42" s="2288">
        <f>OFFSET(AI42,0,-1)+1</f>
        <v>4</v>
      </c>
      <c r="AJ42" s="2288"/>
      <c r="AK42" s="1351">
        <f>OFFSET(AK42,0,-2)+1</f>
        <v>5</v>
      </c>
      <c r="AL42" s="1261">
        <f>OFFSET(AL42,0,-1)</f>
        <v>5</v>
      </c>
      <c r="AM42" s="1351">
        <f>OFFSET(AM42,0,-1)+1</f>
        <v>6</v>
      </c>
      <c r="AN42" s="527"/>
      <c r="AO42" s="527"/>
      <c r="AP42" s="527"/>
      <c r="AQ42" s="527"/>
      <c r="AR42" s="527"/>
      <c r="AS42" s="512">
        <v>0</v>
      </c>
    </row>
    <row customHeight="1" ht="22.049999999999997">
      <c r="A43" s="1379" t="s">
        <v>231</v>
      </c>
      <c r="B43" s="1379"/>
      <c r="C43" s="1379"/>
      <c r="D43" s="1379"/>
      <c r="E43" s="2274">
        <v>1</v>
      </c>
      <c r="F43" s="1379"/>
      <c r="G43" s="1379"/>
      <c r="H43" s="1379"/>
      <c r="I43" s="1379"/>
      <c r="J43" s="1379"/>
      <c r="K43" s="1379"/>
      <c r="L43" s="1380"/>
      <c r="M43" s="1381"/>
      <c r="N43" s="1381"/>
      <c r="O43" s="1381"/>
      <c r="P43" s="377"/>
      <c r="Q43" s="376"/>
      <c r="R43" s="371"/>
      <c r="S43" s="1352">
        <f>INDEX(PT_DIFFERENTIATION_NUM_NTAR,MATCH(A43,PT_DIFFERENTIATION_NTAR_ID,0))</f>
        <v>0</v>
      </c>
      <c r="T43" s="314"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6"/>
      <c r="AP43" s="516" t="str">
        <f>IF(T43="","",T43)</f>
        <v>Наименование тарифа</v>
      </c>
      <c r="AQ43" s="516"/>
      <c r="AR43" s="516"/>
      <c r="AS43" s="1171">
        <v>21</v>
      </c>
    </row>
    <row customHeight="1" ht="22.049999999999997">
      <c r="A44" s="1379" t="s">
        <v>231</v>
      </c>
      <c r="B44" s="1379" t="s">
        <v>232</v>
      </c>
      <c r="C44" s="1379"/>
      <c r="D44" s="1379"/>
      <c r="E44" s="2275"/>
      <c r="F44" s="2274">
        <v>1</v>
      </c>
      <c r="G44" s="1379"/>
      <c r="H44" s="1379"/>
      <c r="I44" s="1379"/>
      <c r="J44" s="1379"/>
      <c r="K44" s="1379"/>
      <c r="L44" s="1380"/>
      <c r="M44" s="1381"/>
      <c r="N44" s="1381"/>
      <c r="O44" s="1381"/>
      <c r="P44" s="1348"/>
      <c r="Q44" s="368"/>
      <c r="R44" s="369"/>
      <c r="S44" s="1352" t="str">
        <f>INDEX(PT_DIFFERENTIATION_NUM_TER,MATCH(B44,PT_DIFFERENTIATION_TER_ID,0))</f>
        <v>.</v>
      </c>
      <c r="T44" s="324"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516"/>
      <c r="AP44" s="516" t="str">
        <f>IF(T44="","",T44)</f>
        <v>Территория действия тарифа</v>
      </c>
      <c r="AQ44" s="516"/>
      <c r="AR44" s="516"/>
      <c r="AS44" s="1171">
        <v>21</v>
      </c>
    </row>
    <row customHeight="1" ht="24">
      <c r="A45" s="1379" t="s">
        <v>231</v>
      </c>
      <c r="B45" s="1379" t="s">
        <v>232</v>
      </c>
      <c r="C45" s="1379" t="s">
        <v>233</v>
      </c>
      <c r="D45" s="1379"/>
      <c r="E45" s="2275"/>
      <c r="F45" s="2275"/>
      <c r="G45" s="2274">
        <v>1</v>
      </c>
      <c r="H45" s="1379"/>
      <c r="I45" s="1379"/>
      <c r="J45" s="1379"/>
      <c r="K45" s="1379"/>
      <c r="L45" s="1380"/>
      <c r="M45" s="1381"/>
      <c r="N45" s="1381"/>
      <c r="O45" s="1381"/>
      <c r="P45" s="370"/>
      <c r="Q45" s="368"/>
      <c r="R45" s="369"/>
      <c r="S45" s="1352"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516"/>
      <c r="AP45" s="516" t="str">
        <f>IF(T45="","",T45)</f>
        <v>Наименование системы теплоснабжения </v>
      </c>
      <c r="AQ45" s="516"/>
      <c r="AR45" s="516"/>
      <c r="AS45" s="1171">
        <v>23</v>
      </c>
    </row>
    <row customHeight="1" ht="22.049999999999997">
      <c r="A46" s="1379" t="s">
        <v>231</v>
      </c>
      <c r="B46" s="1379" t="s">
        <v>232</v>
      </c>
      <c r="C46" s="1379" t="s">
        <v>233</v>
      </c>
      <c r="D46" s="1379" t="s">
        <v>234</v>
      </c>
      <c r="E46" s="2275"/>
      <c r="F46" s="2275"/>
      <c r="G46" s="2275"/>
      <c r="H46" s="2274">
        <v>1</v>
      </c>
      <c r="I46" s="1379"/>
      <c r="J46" s="1379"/>
      <c r="K46" s="1379"/>
      <c r="L46" s="1380"/>
      <c r="M46" s="1381"/>
      <c r="N46" s="1381"/>
      <c r="O46" s="1381"/>
      <c r="P46" s="370"/>
      <c r="Q46" s="368"/>
      <c r="R46" s="369"/>
      <c r="S46" s="1352"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516"/>
      <c r="AP46" s="516" t="str">
        <f>IF(T46="","",T46)</f>
        <v>Источник тепловой энергии  </v>
      </c>
      <c r="AQ46" s="516"/>
      <c r="AR46" s="516"/>
      <c r="AS46" s="1171">
        <v>21</v>
      </c>
    </row>
    <row s="1658" customFormat="1" customHeight="1" ht="0">
      <c r="A47" s="1359" t="s">
        <v>231</v>
      </c>
      <c r="B47" s="1359" t="s">
        <v>232</v>
      </c>
      <c r="C47" s="1359" t="s">
        <v>233</v>
      </c>
      <c r="D47" s="1359" t="s">
        <v>234</v>
      </c>
      <c r="E47" s="2275"/>
      <c r="F47" s="2275"/>
      <c r="G47" s="2275"/>
      <c r="H47" s="2275"/>
      <c r="I47" s="2272" t="str">
        <f>S46&amp;".1"</f>
        <v>....1</v>
      </c>
      <c r="J47" s="1359"/>
      <c r="K47" s="1359"/>
      <c r="L47" s="1362" t="s">
        <v>556</v>
      </c>
      <c r="M47" s="526"/>
      <c r="N47" s="526"/>
      <c r="O47" s="526"/>
      <c r="P47" s="2273">
        <v>1</v>
      </c>
      <c r="Q47" s="1347"/>
      <c r="R47" s="372"/>
      <c r="S47" s="1058"/>
      <c r="T47" s="1399"/>
      <c r="U47" s="1400"/>
      <c r="V47" s="2312"/>
      <c r="W47" s="2313"/>
      <c r="X47" s="2313"/>
      <c r="Y47" s="2313"/>
      <c r="Z47" s="2313"/>
      <c r="AA47" s="2313"/>
      <c r="AB47" s="2313"/>
      <c r="AC47" s="2314"/>
      <c r="AD47" s="2312"/>
      <c r="AE47" s="2313"/>
      <c r="AF47" s="2313"/>
      <c r="AG47" s="2313"/>
      <c r="AH47" s="2313"/>
      <c r="AI47" s="2313"/>
      <c r="AJ47" s="2313"/>
      <c r="AK47" s="2313"/>
      <c r="AL47" s="2314"/>
      <c r="AM47" s="1401"/>
      <c r="AO47" s="516"/>
      <c r="AP47" s="516" t="str">
        <f>IF(T47="","",T47)</f>
        <v/>
      </c>
      <c r="AQ47" s="516"/>
      <c r="AR47" s="516"/>
      <c r="AS47" s="527">
        <v>0</v>
      </c>
    </row>
    <row customHeight="1" ht="22.049999999999997">
      <c r="A48" s="1379" t="s">
        <v>231</v>
      </c>
      <c r="B48" s="1379" t="s">
        <v>232</v>
      </c>
      <c r="C48" s="1379" t="s">
        <v>233</v>
      </c>
      <c r="D48" s="1379" t="s">
        <v>234</v>
      </c>
      <c r="E48" s="2275"/>
      <c r="F48" s="2275"/>
      <c r="G48" s="2275"/>
      <c r="H48" s="2275"/>
      <c r="I48" s="2302"/>
      <c r="J48" s="2272" t="str">
        <f>S46&amp;".1"</f>
        <v>....1</v>
      </c>
      <c r="K48" s="1379"/>
      <c r="L48" s="1380" t="s">
        <v>559</v>
      </c>
      <c r="P48" s="2273"/>
      <c r="Q48" s="2273">
        <v>1</v>
      </c>
      <c r="R48" s="373"/>
      <c r="S48" s="1352" t="str">
        <f>$J48</f>
        <v>....1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516"/>
      <c r="AP48" s="516" t="str">
        <f>IF(T48="","",T48)</f>
        <v>Группа потребителей</v>
      </c>
      <c r="AQ48" s="516"/>
      <c r="AR48" s="516"/>
      <c r="AS48" s="1171">
        <v>21</v>
      </c>
    </row>
    <row customHeight="1" ht="22.049999999999997">
      <c r="A49" s="1379" t="s">
        <v>231</v>
      </c>
      <c r="B49" s="1379" t="s">
        <v>232</v>
      </c>
      <c r="C49" s="1379" t="s">
        <v>233</v>
      </c>
      <c r="D49" s="1379" t="s">
        <v>234</v>
      </c>
      <c r="E49" s="2275"/>
      <c r="F49" s="2275"/>
      <c r="G49" s="2275"/>
      <c r="H49" s="2275"/>
      <c r="I49" s="2302"/>
      <c r="J49" s="2302"/>
      <c r="K49" s="2272" t="str">
        <f>J48&amp;".1"</f>
        <v>....1.1</v>
      </c>
      <c r="L49" s="1380" t="s">
        <v>562</v>
      </c>
      <c r="P49" s="2273"/>
      <c r="Q49" s="2273"/>
      <c r="R49" s="373">
        <v>1</v>
      </c>
      <c r="S49" s="1352" t="str">
        <f>$K49</f>
        <v>....1.1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600</v>
      </c>
      <c r="AN49" s="527">
        <f>STRCHECKDATE(V50:AL50)</f>
      </c>
      <c r="AO49" s="516"/>
      <c r="AP49" s="516" t="str">
        <f>IF(T49="","",T49)</f>
        <v/>
      </c>
      <c r="AQ49" s="516"/>
      <c r="AR49" s="516"/>
      <c r="AS49" s="1171">
        <v>21</v>
      </c>
    </row>
    <row customHeight="1" ht="1.05">
      <c r="A50" s="1379" t="s">
        <v>231</v>
      </c>
      <c r="B50" s="1379" t="s">
        <v>232</v>
      </c>
      <c r="C50" s="1379" t="s">
        <v>233</v>
      </c>
      <c r="D50" s="1379" t="s">
        <v>234</v>
      </c>
      <c r="E50" s="2275"/>
      <c r="F50" s="2275"/>
      <c r="G50" s="2275"/>
      <c r="H50" s="2275"/>
      <c r="I50" s="2302"/>
      <c r="J50" s="2302"/>
      <c r="K50" s="2272"/>
      <c r="L50" s="1380"/>
      <c r="P50" s="2273"/>
      <c r="Q50" s="2273"/>
      <c r="R50" s="373"/>
      <c r="S50" s="1358"/>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516"/>
      <c r="AP50" s="516" t="str">
        <f>IF(T50="","",T50)</f>
        <v/>
      </c>
      <c r="AQ50" s="516"/>
      <c r="AR50" s="516"/>
      <c r="AS50" s="1171">
        <v>1</v>
      </c>
    </row>
    <row customHeight="1" ht="11.549999999999999">
      <c r="A51" s="1379" t="s">
        <v>231</v>
      </c>
      <c r="B51" s="1379" t="s">
        <v>232</v>
      </c>
      <c r="C51" s="1379" t="s">
        <v>233</v>
      </c>
      <c r="D51" s="1379" t="s">
        <v>234</v>
      </c>
      <c r="E51" s="2275"/>
      <c r="F51" s="2275"/>
      <c r="G51" s="2275"/>
      <c r="H51" s="2275"/>
      <c r="I51" s="2302"/>
      <c r="J51" s="2272"/>
      <c r="K51" s="1379"/>
      <c r="L51" s="1380"/>
      <c r="P51" s="2273"/>
      <c r="Q51" s="2273"/>
      <c r="R51" s="372"/>
      <c r="S51" s="1294"/>
      <c r="T51" s="303" t="s">
        <v>564</v>
      </c>
      <c r="U51" s="383"/>
      <c r="V51" s="383"/>
      <c r="W51" s="383"/>
      <c r="X51" s="383"/>
      <c r="Y51" s="383"/>
      <c r="Z51" s="383"/>
      <c r="AA51" s="383"/>
      <c r="AB51" s="383"/>
      <c r="AC51" s="383"/>
      <c r="AD51" s="383"/>
      <c r="AE51" s="383"/>
      <c r="AF51" s="383"/>
      <c r="AG51" s="383"/>
      <c r="AH51" s="383"/>
      <c r="AI51" s="383"/>
      <c r="AJ51" s="383"/>
      <c r="AK51" s="383"/>
      <c r="AL51" s="340"/>
      <c r="AM51" s="2271"/>
      <c r="AO51" s="516"/>
      <c r="AP51" s="516" t="str">
        <f>IF(T51="","",T51)</f>
        <v>Добавить вид теплоносителя (параметры теплоносителя)</v>
      </c>
      <c r="AQ51" s="516"/>
      <c r="AR51" s="516"/>
      <c r="AS51" s="1171">
        <v>11</v>
      </c>
    </row>
    <row customHeight="1" ht="11.549999999999999">
      <c r="A52" s="1379" t="s">
        <v>231</v>
      </c>
      <c r="B52" s="1379" t="s">
        <v>232</v>
      </c>
      <c r="C52" s="1379" t="s">
        <v>233</v>
      </c>
      <c r="D52" s="1379" t="s">
        <v>234</v>
      </c>
      <c r="E52" s="2275"/>
      <c r="F52" s="2275"/>
      <c r="G52" s="2275"/>
      <c r="H52" s="2275"/>
      <c r="I52" s="2272"/>
      <c r="J52" s="1379"/>
      <c r="K52" s="1379"/>
      <c r="L52" s="1380"/>
      <c r="P52" s="2273"/>
      <c r="Q52" s="1347"/>
      <c r="R52" s="372"/>
      <c r="S52" s="1294"/>
      <c r="T52" s="381" t="s">
        <v>565</v>
      </c>
      <c r="U52" s="383"/>
      <c r="V52" s="383"/>
      <c r="W52" s="383"/>
      <c r="X52" s="383"/>
      <c r="Y52" s="383"/>
      <c r="Z52" s="383"/>
      <c r="AA52" s="383"/>
      <c r="AB52" s="383"/>
      <c r="AC52" s="382"/>
      <c r="AD52" s="383"/>
      <c r="AE52" s="383"/>
      <c r="AF52" s="383"/>
      <c r="AG52" s="383"/>
      <c r="AH52" s="383"/>
      <c r="AI52" s="383"/>
      <c r="AJ52" s="383"/>
      <c r="AK52" s="382"/>
      <c r="AL52" s="383"/>
      <c r="AM52" s="319"/>
      <c r="AO52" s="516"/>
      <c r="AP52" s="516" t="str">
        <f>IF(T52="","",T52)</f>
        <v>Добавить группу потребителей</v>
      </c>
      <c r="AQ52" s="516"/>
      <c r="AR52" s="516"/>
      <c r="AS52" s="1171">
        <v>11</v>
      </c>
    </row>
    <row customHeight="1" ht="0">
      <c r="A53" s="1379" t="s">
        <v>231</v>
      </c>
      <c r="B53" s="1379" t="s">
        <v>232</v>
      </c>
      <c r="C53" s="1379" t="s">
        <v>233</v>
      </c>
      <c r="D53" s="1379" t="s">
        <v>234</v>
      </c>
      <c r="E53" s="2275"/>
      <c r="F53" s="2275"/>
      <c r="G53" s="2275"/>
      <c r="H53" s="2274"/>
      <c r="I53" s="1379"/>
      <c r="J53" s="1379"/>
      <c r="K53" s="1379"/>
      <c r="L53" s="1380"/>
      <c r="M53" s="1381"/>
      <c r="N53" s="1381"/>
      <c r="O53" s="553"/>
      <c r="P53" s="376"/>
      <c r="Q53" s="391"/>
      <c r="R53" s="371"/>
      <c r="S53" s="1402"/>
      <c r="T53" s="1403"/>
      <c r="U53" s="1404"/>
      <c r="V53" s="1404"/>
      <c r="W53" s="1404"/>
      <c r="X53" s="1404"/>
      <c r="Y53" s="1404"/>
      <c r="Z53" s="1404"/>
      <c r="AA53" s="1404"/>
      <c r="AB53" s="1404"/>
      <c r="AC53" s="1404"/>
      <c r="AD53" s="1404"/>
      <c r="AE53" s="1404"/>
      <c r="AF53" s="1404"/>
      <c r="AG53" s="1404"/>
      <c r="AH53" s="1404"/>
      <c r="AI53" s="1404"/>
      <c r="AJ53" s="1404"/>
      <c r="AK53" s="1404"/>
      <c r="AL53" s="1404"/>
      <c r="AM53" s="1405"/>
      <c r="AO53" s="516"/>
      <c r="AP53" s="516" t="str">
        <f>IF(T53="","",T53)</f>
        <v/>
      </c>
      <c r="AQ53" s="516"/>
      <c r="AR53" s="516"/>
      <c r="AS53" s="1171">
        <v>0</v>
      </c>
    </row>
    <row s="1658" customFormat="1" customHeight="1" ht="1.05">
      <c r="A54" s="1359" t="s">
        <v>231</v>
      </c>
      <c r="B54" s="1359" t="s">
        <v>232</v>
      </c>
      <c r="C54" s="1359" t="s">
        <v>233</v>
      </c>
      <c r="D54" s="1330"/>
      <c r="E54" s="2275"/>
      <c r="F54" s="2275"/>
      <c r="G54" s="2274"/>
      <c r="H54" s="1330"/>
      <c r="I54" s="1330"/>
      <c r="J54" s="1330"/>
      <c r="K54" s="1330"/>
      <c r="L54" s="1355"/>
      <c r="M54" s="1331"/>
      <c r="N54" s="133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805"/>
      <c r="AP54" s="805" t="str">
        <f>IF(T54="","",T54)</f>
        <v>Добавить источник для дифференциации</v>
      </c>
      <c r="AQ54" s="805"/>
      <c r="AR54" s="805"/>
      <c r="AS54" s="534">
        <v>1</v>
      </c>
    </row>
    <row s="1658" customFormat="1" customHeight="1" ht="1.05">
      <c r="A55" s="1359" t="s">
        <v>231</v>
      </c>
      <c r="B55" s="1359" t="s">
        <v>232</v>
      </c>
      <c r="C55" s="1330"/>
      <c r="D55" s="1330"/>
      <c r="E55" s="2275"/>
      <c r="F55" s="2274"/>
      <c r="G55" s="1330"/>
      <c r="H55" s="1330"/>
      <c r="I55" s="1330"/>
      <c r="J55" s="1330"/>
      <c r="K55" s="1330"/>
      <c r="L55" s="1355"/>
      <c r="M55" s="1337"/>
      <c r="N55" s="133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805"/>
      <c r="AP55" s="805" t="str">
        <f>IF(T55="","",T55)</f>
        <v>Добавить централизованную систему для дифференциации</v>
      </c>
      <c r="AQ55" s="805"/>
      <c r="AR55" s="805"/>
      <c r="AS55" s="534">
        <v>1</v>
      </c>
    </row>
    <row s="1658" customFormat="1" customHeight="1" ht="1.05">
      <c r="A56" s="1359" t="s">
        <v>231</v>
      </c>
      <c r="B56" s="1359"/>
      <c r="C56" s="1359"/>
      <c r="D56" s="1359"/>
      <c r="E56" s="2274"/>
      <c r="F56" s="1359"/>
      <c r="G56" s="1359"/>
      <c r="H56" s="1359"/>
      <c r="I56" s="1359"/>
      <c r="J56" s="1359"/>
      <c r="K56" s="1359"/>
      <c r="L56" s="1362"/>
      <c r="M56" s="1337"/>
      <c r="N56" s="1337"/>
      <c r="O56" s="534"/>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516"/>
      <c r="AP56" s="516" t="str">
        <f>IF(T56="","",T56)</f>
        <v>Добавить территорию для дифференциации</v>
      </c>
      <c r="AQ56" s="516"/>
      <c r="AR56" s="516"/>
      <c r="AS56" s="527">
        <v>1</v>
      </c>
    </row>
    <row s="1658" customFormat="1" customHeight="1" ht="1.05">
      <c r="A57" s="1330"/>
      <c r="B57" s="1330"/>
      <c r="C57" s="1330"/>
      <c r="D57" s="1330"/>
      <c r="E57" s="1359"/>
      <c r="F57" s="1330"/>
      <c r="G57" s="1330"/>
      <c r="H57" s="1330"/>
      <c r="I57" s="1330"/>
      <c r="J57" s="1330"/>
      <c r="K57" s="1330"/>
      <c r="L57" s="1355"/>
      <c r="M57" s="1337"/>
      <c r="N57" s="133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805"/>
      <c r="AP57" s="805" t="str">
        <f>IF(T57="","",T57)</f>
        <v>Добавить наименование тарифа</v>
      </c>
      <c r="AQ57" s="805"/>
      <c r="AR57" s="805"/>
      <c r="AS57" s="534">
        <v>1</v>
      </c>
    </row>
    <row customHeight="1" ht="11.549999999999999">
      <c r="M58" s="1176"/>
      <c r="N58" s="1176"/>
      <c r="O58" s="553"/>
      <c r="P58" s="1171"/>
      <c r="Q58" s="1171"/>
      <c r="R58" s="1171"/>
      <c r="S58" s="1171"/>
      <c r="AN58" s="1171"/>
      <c r="AO58" s="1171"/>
      <c r="AP58" s="1171"/>
      <c r="AQ58" s="1171"/>
      <c r="AR58" s="1171"/>
      <c r="AS58" s="1171">
        <v>11</v>
      </c>
    </row>
    <row customHeight="1" ht="19.95">
      <c r="O59" s="553"/>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71">
        <v>19</v>
      </c>
    </row>
    <row customHeight="1" ht="29.25">
      <c r="O60" s="553"/>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71">
        <v>28</v>
      </c>
    </row>
    <row customHeight="1" ht="42">
      <c r="O61" s="553"/>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71">
        <v>40</v>
      </c>
    </row>
    <row customHeight="1" ht="14.699999999999998">
      <c r="O62" s="553"/>
      <c r="AS62" s="1171">
        <v>14</v>
      </c>
    </row>
    <row customHeight="1" ht="21">
      <c r="O63" s="553"/>
      <c r="S63" s="1269"/>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71">
        <v>20</v>
      </c>
    </row>
    <row customHeight="1" ht="29.25">
      <c r="O64" s="553"/>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71">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71">
        <v>34</v>
      </c>
    </row>
    <row customHeight="1" ht="22.5" hidden="1">
      <c r="A66" s="1176" t="s">
        <v>85</v>
      </c>
      <c r="B66" s="1176">
        <v>0</v>
      </c>
      <c r="C66" s="1176">
        <v>0</v>
      </c>
      <c r="D66" s="1176">
        <v>0</v>
      </c>
      <c r="E66" s="1176">
        <v>0</v>
      </c>
      <c r="F66" s="1176">
        <v>0</v>
      </c>
      <c r="G66" s="1176">
        <v>0</v>
      </c>
      <c r="H66" s="1176">
        <v>0</v>
      </c>
      <c r="I66" s="1176">
        <v>0</v>
      </c>
      <c r="J66" s="1176">
        <v>0</v>
      </c>
      <c r="K66" s="1176">
        <v>0</v>
      </c>
      <c r="L66" s="1345">
        <v>0</v>
      </c>
      <c r="M66" s="1378">
        <v>0</v>
      </c>
      <c r="N66" s="1378">
        <v>0</v>
      </c>
      <c r="O66" s="1378">
        <v>0</v>
      </c>
      <c r="P66" s="1344">
        <v>0</v>
      </c>
      <c r="Q66" s="360">
        <v>3</v>
      </c>
      <c r="R66" s="360">
        <v>3</v>
      </c>
      <c r="S66" s="597">
        <v>12</v>
      </c>
      <c r="T66" s="1171">
        <v>31</v>
      </c>
      <c r="U66" s="1171">
        <v>0</v>
      </c>
      <c r="V66" s="1171">
        <v>0</v>
      </c>
      <c r="W66" s="1171">
        <v>0</v>
      </c>
      <c r="X66" s="1171">
        <v>0</v>
      </c>
      <c r="Y66" s="1171">
        <v>0</v>
      </c>
      <c r="Z66" s="1171">
        <v>0</v>
      </c>
      <c r="AA66" s="1171">
        <v>0</v>
      </c>
      <c r="AB66" s="1171">
        <v>0</v>
      </c>
      <c r="AC66" s="1171">
        <v>0</v>
      </c>
      <c r="AD66" s="1171">
        <v>24</v>
      </c>
      <c r="AE66" s="1171">
        <v>0</v>
      </c>
      <c r="AF66" s="1171">
        <v>24</v>
      </c>
      <c r="AG66" s="1171">
        <v>24</v>
      </c>
      <c r="AH66" s="1171">
        <v>11</v>
      </c>
      <c r="AI66" s="1171">
        <v>3</v>
      </c>
      <c r="AJ66" s="1171">
        <v>11</v>
      </c>
      <c r="AK66" s="1171">
        <v>0</v>
      </c>
      <c r="AL66" s="1171">
        <v>4</v>
      </c>
      <c r="AM66" s="1171">
        <v>115</v>
      </c>
      <c r="AN66" s="527">
        <v>10</v>
      </c>
      <c r="AO66" s="527">
        <v>10</v>
      </c>
      <c r="AP66" s="527">
        <v>10</v>
      </c>
      <c r="AQ66" s="527">
        <v>10</v>
      </c>
      <c r="AR66" s="527">
        <v>10</v>
      </c>
      <c r="AS66" s="117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14EB2-17E2-2907-6BF1-B73F90D99E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2413" width="3.7109375" hidden="1" customWidth="1"/>
    <col min="17" max="18" style="360" width="3.00390625" customWidth="1"/>
    <col min="19" max="19" style="2423" width="12.00390625" customWidth="1"/>
    <col min="20" max="20" style="1651" width="31.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A1" s="1887"/>
      <c r="Y1" s="343"/>
      <c r="Z1" s="343"/>
      <c r="AG1" s="343"/>
      <c r="AH1" s="343"/>
      <c r="AS1" s="1171" t="s">
        <v>14</v>
      </c>
    </row>
    <row customHeight="1" ht="21" hidden="1">
      <c r="A2" s="1379"/>
      <c r="B2" s="1379"/>
      <c r="C2" s="1379"/>
      <c r="D2" s="1379"/>
      <c r="E2" s="2274">
        <v>1</v>
      </c>
      <c r="F2" s="1379"/>
      <c r="G2" s="1379"/>
      <c r="H2" s="1379"/>
      <c r="I2" s="1379"/>
      <c r="J2" s="1379"/>
      <c r="K2" s="1379"/>
      <c r="L2" s="1380"/>
      <c r="M2" s="1381"/>
      <c r="N2" s="1381"/>
      <c r="O2" s="1381"/>
      <c r="P2" s="377"/>
      <c r="Q2" s="376"/>
      <c r="R2" s="371"/>
      <c r="S2" s="1352">
        <f>INDEX(PT_DIFFERENTIATION_NUM_NTAR,MATCH(A2,PT_DIFFERENTIATION_NTAR_ID,0))</f>
      </c>
      <c r="T2" s="314"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516"/>
      <c r="AP2" s="516" t="str">
        <f>IF(T2="","",T2)</f>
        <v>Наименование тарифа</v>
      </c>
      <c r="AQ2" s="516"/>
      <c r="AR2" s="516"/>
      <c r="AS2" s="1171">
        <v>0</v>
      </c>
    </row>
    <row customHeight="1" ht="21" hidden="1">
      <c r="A3" s="1379"/>
      <c r="B3" s="1379"/>
      <c r="C3" s="1379"/>
      <c r="D3" s="1379"/>
      <c r="E3" s="2275"/>
      <c r="F3" s="2274">
        <v>1</v>
      </c>
      <c r="G3" s="1379"/>
      <c r="H3" s="1379"/>
      <c r="I3" s="1379"/>
      <c r="J3" s="1379"/>
      <c r="K3" s="1379"/>
      <c r="L3" s="1380"/>
      <c r="M3" s="1381"/>
      <c r="N3" s="1381"/>
      <c r="O3" s="1381"/>
      <c r="P3" s="1348"/>
      <c r="Q3" s="368"/>
      <c r="R3" s="369"/>
      <c r="S3" s="1352">
        <f>INDEX(PT_DIFFERENTIATION_NUM_TER,MATCH(B3,PT_DIFFERENTIATION_TER_ID,0))</f>
      </c>
      <c r="T3" s="324"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516"/>
      <c r="AP3" s="516" t="str">
        <f>IF(T3="","",T3)</f>
        <v>Территория действия тарифа</v>
      </c>
      <c r="AQ3" s="516"/>
      <c r="AR3" s="516"/>
      <c r="AS3" s="1171">
        <v>0</v>
      </c>
    </row>
    <row customHeight="1" ht="23.25" hidden="1">
      <c r="A4" s="1379"/>
      <c r="B4" s="1379"/>
      <c r="C4" s="1379"/>
      <c r="D4" s="1379"/>
      <c r="E4" s="2275"/>
      <c r="F4" s="2275"/>
      <c r="G4" s="2274">
        <v>1</v>
      </c>
      <c r="H4" s="1379"/>
      <c r="I4" s="1379"/>
      <c r="J4" s="1379"/>
      <c r="K4" s="1379"/>
      <c r="L4" s="1380"/>
      <c r="M4" s="1381"/>
      <c r="N4" s="1381"/>
      <c r="O4" s="1381"/>
      <c r="P4" s="370"/>
      <c r="Q4" s="368"/>
      <c r="R4" s="369"/>
      <c r="S4" s="2024">
        <f>INDEX(PT_DIFFERENTIATION_NUM_CS,MATCH(C4,PT_DIFFERENTIATION_CS_ID,0))</f>
      </c>
      <c r="T4" s="2028" t="s">
        <v>552</v>
      </c>
      <c r="U4" s="2029"/>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274" t="s">
        <v>553</v>
      </c>
      <c r="AO4" s="516"/>
      <c r="AP4" s="516" t="str">
        <f>IF(T4="","",T4)</f>
        <v>Наименование системы теплоснабжения </v>
      </c>
      <c r="AQ4" s="516"/>
      <c r="AR4" s="516"/>
      <c r="AS4" s="1171">
        <v>0</v>
      </c>
    </row>
    <row customHeight="1" ht="21" hidden="1">
      <c r="A5" s="1379"/>
      <c r="B5" s="1379"/>
      <c r="C5" s="1379"/>
      <c r="D5" s="1379"/>
      <c r="E5" s="2275"/>
      <c r="F5" s="2275"/>
      <c r="G5" s="2275"/>
      <c r="H5" s="2274">
        <v>1</v>
      </c>
      <c r="I5" s="1379"/>
      <c r="J5" s="1379"/>
      <c r="K5" s="1379"/>
      <c r="L5" s="1380"/>
      <c r="M5" s="1381"/>
      <c r="N5" s="1381"/>
      <c r="O5" s="1381"/>
      <c r="P5" s="370"/>
      <c r="Q5" s="368"/>
      <c r="R5" s="1651"/>
      <c r="S5" s="2023">
        <f>INDEX(PT_DIFFERENTIATION_NUM_IST_TE,MATCH(D5,PT_DIFFERENTIATION_IST_TE_ID,0))</f>
      </c>
      <c r="T5" s="326" t="s">
        <v>554</v>
      </c>
      <c r="U5" s="316"/>
      <c r="V5" s="2319"/>
      <c r="W5" s="2319"/>
      <c r="X5" s="2319"/>
      <c r="Y5" s="2319"/>
      <c r="Z5" s="2319"/>
      <c r="AA5" s="2319"/>
      <c r="AB5" s="2319"/>
      <c r="AC5" s="2319"/>
      <c r="AD5" s="2319">
        <f>INDEX(PT_DIFFERENTIATION_IST_TE,MATCH(D5,PT_DIFFERENTIATION_IST_TE_ID,0))</f>
      </c>
      <c r="AE5" s="2319"/>
      <c r="AF5" s="2319"/>
      <c r="AG5" s="2319"/>
      <c r="AH5" s="2319"/>
      <c r="AI5" s="2319"/>
      <c r="AJ5" s="2319"/>
      <c r="AK5" s="2319"/>
      <c r="AL5" s="2319"/>
      <c r="AM5" s="2026" t="s">
        <v>555</v>
      </c>
      <c r="AO5" s="516"/>
      <c r="AP5" s="516" t="str">
        <f>IF(T5="","",T5)</f>
        <v>Источник тепловой энергии  </v>
      </c>
      <c r="AQ5" s="516"/>
      <c r="AR5" s="516"/>
      <c r="AS5" s="1171">
        <v>0</v>
      </c>
    </row>
    <row customHeight="1" ht="0.75" hidden="1">
      <c r="A6" s="1379"/>
      <c r="B6" s="1379"/>
      <c r="C6" s="1379"/>
      <c r="D6" s="1379"/>
      <c r="E6" s="2275"/>
      <c r="F6" s="2275"/>
      <c r="G6" s="2275"/>
      <c r="H6" s="2275"/>
      <c r="I6" s="2272">
        <f>S5&amp;".1"</f>
      </c>
      <c r="J6" s="1379"/>
      <c r="K6" s="1379"/>
      <c r="L6" s="1380" t="s">
        <v>556</v>
      </c>
      <c r="M6" s="553"/>
      <c r="P6" s="2273">
        <v>1</v>
      </c>
      <c r="Q6" s="1347"/>
      <c r="R6" s="2022"/>
      <c r="S6" s="1058"/>
      <c r="T6" s="1399"/>
      <c r="U6" s="1400"/>
      <c r="V6" s="2320"/>
      <c r="W6" s="2320"/>
      <c r="X6" s="2320"/>
      <c r="Y6" s="2320"/>
      <c r="Z6" s="2320"/>
      <c r="AA6" s="2320"/>
      <c r="AB6" s="2320"/>
      <c r="AC6" s="2320"/>
      <c r="AD6" s="2320"/>
      <c r="AE6" s="2320"/>
      <c r="AF6" s="2320"/>
      <c r="AG6" s="2320"/>
      <c r="AH6" s="2320"/>
      <c r="AI6" s="2320"/>
      <c r="AJ6" s="2320"/>
      <c r="AK6" s="2320"/>
      <c r="AL6" s="2320"/>
      <c r="AM6" s="2027"/>
      <c r="AO6" s="516"/>
      <c r="AP6" s="516" t="str">
        <f>IF(T6="","",T6)</f>
        <v/>
      </c>
      <c r="AQ6" s="516"/>
      <c r="AR6" s="516"/>
      <c r="AS6" s="1171">
        <v>0</v>
      </c>
    </row>
    <row customHeight="1" ht="84" hidden="1">
      <c r="A7" s="1379"/>
      <c r="B7" s="1379"/>
      <c r="C7" s="1379"/>
      <c r="D7" s="1379"/>
      <c r="E7" s="2275"/>
      <c r="F7" s="2275"/>
      <c r="G7" s="2275"/>
      <c r="H7" s="2275"/>
      <c r="I7" s="2302"/>
      <c r="J7" s="2272">
        <f>I6&amp;".1"</f>
      </c>
      <c r="K7" s="1379"/>
      <c r="L7" s="1380" t="s">
        <v>559</v>
      </c>
      <c r="M7" s="553"/>
      <c r="N7" s="1382"/>
      <c r="P7" s="2273"/>
      <c r="Q7" s="2273">
        <v>1</v>
      </c>
      <c r="R7" s="1658"/>
      <c r="S7" s="2023">
        <f>$J7</f>
      </c>
      <c r="T7" s="302" t="s">
        <v>560</v>
      </c>
      <c r="U7" s="316"/>
      <c r="V7" s="2321"/>
      <c r="W7" s="2321"/>
      <c r="X7" s="2321"/>
      <c r="Y7" s="2321"/>
      <c r="Z7" s="2321"/>
      <c r="AA7" s="2321"/>
      <c r="AB7" s="2321"/>
      <c r="AC7" s="2321"/>
      <c r="AD7" s="2321"/>
      <c r="AE7" s="2321"/>
      <c r="AF7" s="2321"/>
      <c r="AG7" s="2321"/>
      <c r="AH7" s="2321"/>
      <c r="AI7" s="2321"/>
      <c r="AJ7" s="2321"/>
      <c r="AK7" s="2321"/>
      <c r="AL7" s="2321"/>
      <c r="AM7" s="2026" t="s">
        <v>561</v>
      </c>
      <c r="AO7" s="516"/>
      <c r="AP7" s="516" t="str">
        <f>IF(T7="","",T7)</f>
        <v>Группа потребителей</v>
      </c>
      <c r="AQ7" s="516"/>
      <c r="AR7" s="516"/>
      <c r="AS7" s="1171">
        <v>0</v>
      </c>
    </row>
    <row customHeight="1" ht="11.25" hidden="1">
      <c r="A8" s="1379"/>
      <c r="B8" s="1379"/>
      <c r="C8" s="1379"/>
      <c r="D8" s="1379"/>
      <c r="E8" s="2275"/>
      <c r="F8" s="2275"/>
      <c r="G8" s="2275"/>
      <c r="H8" s="2275"/>
      <c r="I8" s="2302"/>
      <c r="J8" s="2302"/>
      <c r="K8" s="2272">
        <f>J7&amp;".1"</f>
      </c>
      <c r="L8" s="1380" t="s">
        <v>562</v>
      </c>
      <c r="M8" s="553"/>
      <c r="N8" s="1382"/>
      <c r="O8" s="1382"/>
      <c r="P8" s="2273"/>
      <c r="Q8" s="2273"/>
      <c r="R8" s="373">
        <v>1</v>
      </c>
      <c r="S8" s="2025">
        <f>$K8</f>
      </c>
      <c r="T8" s="2030"/>
      <c r="U8" s="2031"/>
      <c r="V8" s="2032"/>
      <c r="W8" s="1365"/>
      <c r="X8" s="2032"/>
      <c r="Y8" s="2033"/>
      <c r="Z8" s="2322"/>
      <c r="AA8" s="2128" t="s">
        <v>64</v>
      </c>
      <c r="AB8" s="2322"/>
      <c r="AC8" s="2128" t="s">
        <v>64</v>
      </c>
      <c r="AD8" s="2032"/>
      <c r="AE8" s="1365"/>
      <c r="AF8" s="2032"/>
      <c r="AG8" s="2033"/>
      <c r="AH8" s="2322"/>
      <c r="AI8" s="2128" t="s">
        <v>64</v>
      </c>
      <c r="AJ8" s="2322"/>
      <c r="AK8" s="2128" t="s">
        <v>64</v>
      </c>
      <c r="AL8" s="1365"/>
      <c r="AM8" s="2269" t="s">
        <v>563</v>
      </c>
      <c r="AN8" s="527">
        <f>STRCHECKDATE(V9:AL9)</f>
      </c>
      <c r="AO8" s="516"/>
      <c r="AP8" s="516" t="str">
        <f>IF(T8="","",T8)</f>
        <v/>
      </c>
      <c r="AQ8" s="516"/>
      <c r="AR8" s="516"/>
      <c r="AS8" s="1171">
        <v>0</v>
      </c>
    </row>
    <row customHeight="1" ht="0.75" hidden="1">
      <c r="A9" s="1379"/>
      <c r="B9" s="1379"/>
      <c r="C9" s="1379"/>
      <c r="D9" s="1379"/>
      <c r="E9" s="2275"/>
      <c r="F9" s="2275"/>
      <c r="G9" s="2275"/>
      <c r="H9" s="2275"/>
      <c r="I9" s="2302"/>
      <c r="J9" s="2302"/>
      <c r="K9" s="2272"/>
      <c r="L9" s="1380"/>
      <c r="M9" s="553"/>
      <c r="N9" s="1382"/>
      <c r="O9" s="1382"/>
      <c r="P9" s="2273"/>
      <c r="Q9" s="2273"/>
      <c r="R9" s="373"/>
      <c r="S9" s="1358"/>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516"/>
      <c r="AP9" s="516" t="str">
        <f>IF(T9="","",T9)</f>
        <v/>
      </c>
      <c r="AQ9" s="516"/>
      <c r="AR9" s="516"/>
      <c r="AS9" s="1171">
        <v>0</v>
      </c>
    </row>
    <row customHeight="1" ht="11.25" hidden="1">
      <c r="A10" s="1379"/>
      <c r="B10" s="1379"/>
      <c r="C10" s="1379"/>
      <c r="D10" s="1379"/>
      <c r="E10" s="2275"/>
      <c r="F10" s="2275"/>
      <c r="G10" s="2275"/>
      <c r="H10" s="2275"/>
      <c r="I10" s="2302"/>
      <c r="J10" s="2272"/>
      <c r="K10" s="1379"/>
      <c r="L10" s="1380"/>
      <c r="M10" s="553"/>
      <c r="N10" s="1382"/>
      <c r="P10" s="2273"/>
      <c r="Q10" s="2273"/>
      <c r="R10" s="372"/>
      <c r="S10" s="1294"/>
      <c r="T10" s="303" t="s">
        <v>564</v>
      </c>
      <c r="U10" s="383"/>
      <c r="V10" s="383"/>
      <c r="W10" s="383"/>
      <c r="X10" s="383"/>
      <c r="Y10" s="383"/>
      <c r="Z10" s="383"/>
      <c r="AA10" s="383"/>
      <c r="AB10" s="383"/>
      <c r="AC10" s="383"/>
      <c r="AD10" s="383"/>
      <c r="AE10" s="383"/>
      <c r="AF10" s="383"/>
      <c r="AG10" s="383"/>
      <c r="AH10" s="383"/>
      <c r="AI10" s="383"/>
      <c r="AJ10" s="383"/>
      <c r="AK10" s="383"/>
      <c r="AL10" s="340"/>
      <c r="AM10" s="2271"/>
      <c r="AO10" s="516"/>
      <c r="AP10" s="516" t="str">
        <f>IF(T10="","",T10)</f>
        <v>Добавить вид теплоносителя (параметры теплоносителя)</v>
      </c>
      <c r="AQ10" s="516"/>
      <c r="AR10" s="516"/>
      <c r="AS10" s="1171">
        <v>0</v>
      </c>
    </row>
    <row customHeight="1" ht="11.25" hidden="1">
      <c r="A11" s="1379"/>
      <c r="B11" s="1379"/>
      <c r="C11" s="1379"/>
      <c r="D11" s="1379"/>
      <c r="E11" s="2275"/>
      <c r="F11" s="2275"/>
      <c r="G11" s="2275"/>
      <c r="H11" s="2275"/>
      <c r="I11" s="2272"/>
      <c r="J11" s="1379"/>
      <c r="K11" s="1379"/>
      <c r="L11" s="1380"/>
      <c r="M11" s="553"/>
      <c r="P11" s="2273"/>
      <c r="Q11" s="1347"/>
      <c r="R11" s="372"/>
      <c r="S11" s="1294"/>
      <c r="T11" s="381" t="s">
        <v>565</v>
      </c>
      <c r="U11" s="383"/>
      <c r="V11" s="383"/>
      <c r="W11" s="383"/>
      <c r="X11" s="383"/>
      <c r="Y11" s="383"/>
      <c r="Z11" s="383"/>
      <c r="AA11" s="383"/>
      <c r="AB11" s="383"/>
      <c r="AC11" s="382"/>
      <c r="AD11" s="383"/>
      <c r="AE11" s="383"/>
      <c r="AF11" s="383"/>
      <c r="AG11" s="383"/>
      <c r="AH11" s="383"/>
      <c r="AI11" s="383"/>
      <c r="AJ11" s="383"/>
      <c r="AK11" s="382"/>
      <c r="AL11" s="383"/>
      <c r="AM11" s="319"/>
      <c r="AO11" s="516"/>
      <c r="AP11" s="516" t="str">
        <f>IF(T11="","",T11)</f>
        <v>Добавить группу потребителей</v>
      </c>
      <c r="AQ11" s="516"/>
      <c r="AR11" s="516"/>
      <c r="AS11" s="1171">
        <v>0</v>
      </c>
    </row>
    <row customHeight="1" ht="0.75" hidden="1">
      <c r="A12" s="1379"/>
      <c r="B12" s="1379"/>
      <c r="C12" s="1379"/>
      <c r="D12" s="1379"/>
      <c r="E12" s="2275"/>
      <c r="F12" s="2275"/>
      <c r="G12" s="2275"/>
      <c r="H12" s="2274"/>
      <c r="I12" s="1379"/>
      <c r="J12" s="1379"/>
      <c r="K12" s="1379"/>
      <c r="L12" s="1380"/>
      <c r="M12" s="1381"/>
      <c r="N12" s="1381"/>
      <c r="O12" s="553"/>
      <c r="P12" s="376"/>
      <c r="Q12" s="391"/>
      <c r="R12" s="371"/>
      <c r="S12" s="1402"/>
      <c r="T12" s="1403"/>
      <c r="U12" s="1404"/>
      <c r="V12" s="1404"/>
      <c r="W12" s="1404"/>
      <c r="X12" s="1404"/>
      <c r="Y12" s="1404"/>
      <c r="Z12" s="1404"/>
      <c r="AA12" s="1404"/>
      <c r="AB12" s="1404"/>
      <c r="AC12" s="1404"/>
      <c r="AD12" s="1404"/>
      <c r="AE12" s="1404"/>
      <c r="AF12" s="1404"/>
      <c r="AG12" s="1404"/>
      <c r="AH12" s="1404"/>
      <c r="AI12" s="1404"/>
      <c r="AJ12" s="1404"/>
      <c r="AK12" s="1404"/>
      <c r="AL12" s="1404"/>
      <c r="AM12" s="1405"/>
      <c r="AO12" s="516"/>
      <c r="AP12" s="516" t="str">
        <f>IF(T12="","",T12)</f>
        <v/>
      </c>
      <c r="AQ12" s="516"/>
      <c r="AR12" s="516"/>
      <c r="AS12" s="1171">
        <v>0</v>
      </c>
    </row>
    <row s="1658" customFormat="1" customHeight="1" ht="0.75" hidden="1">
      <c r="A13" s="1330"/>
      <c r="B13" s="1330"/>
      <c r="C13" s="1330"/>
      <c r="D13" s="1330"/>
      <c r="E13" s="2275"/>
      <c r="F13" s="2275"/>
      <c r="G13" s="2274"/>
      <c r="H13" s="1330"/>
      <c r="I13" s="1330"/>
      <c r="J13" s="1330"/>
      <c r="K13" s="1330"/>
      <c r="L13" s="1355"/>
      <c r="M13" s="1331"/>
      <c r="N13" s="133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805"/>
      <c r="AP13" s="805" t="str">
        <f>IF(T13="","",T13)</f>
        <v>Добавить источник для дифференциации</v>
      </c>
      <c r="AQ13" s="805"/>
      <c r="AR13" s="805"/>
      <c r="AS13" s="534">
        <v>0</v>
      </c>
    </row>
    <row s="1658" customFormat="1" customHeight="1" ht="0.75" hidden="1">
      <c r="A14" s="1330"/>
      <c r="B14" s="1330"/>
      <c r="C14" s="1330"/>
      <c r="D14" s="1330"/>
      <c r="E14" s="2275"/>
      <c r="F14" s="2274"/>
      <c r="G14" s="1330"/>
      <c r="H14" s="1330"/>
      <c r="I14" s="1330"/>
      <c r="J14" s="1330"/>
      <c r="K14" s="1330"/>
      <c r="L14" s="1355"/>
      <c r="M14" s="1337"/>
      <c r="N14" s="133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805"/>
      <c r="AP14" s="805" t="str">
        <f>IF(T14="","",T14)</f>
        <v>Добавить централизованную систему для дифференциации</v>
      </c>
      <c r="AQ14" s="805"/>
      <c r="AR14" s="805"/>
      <c r="AS14" s="534">
        <v>0</v>
      </c>
    </row>
    <row s="1658" customFormat="1" customHeight="1" ht="0.75" hidden="1">
      <c r="A15" s="1330"/>
      <c r="B15" s="1330"/>
      <c r="C15" s="1330"/>
      <c r="D15" s="1330"/>
      <c r="E15" s="2274"/>
      <c r="F15" s="1330"/>
      <c r="G15" s="1330"/>
      <c r="H15" s="1330"/>
      <c r="I15" s="1330"/>
      <c r="J15" s="1330"/>
      <c r="K15" s="1330"/>
      <c r="L15" s="1355"/>
      <c r="M15" s="1337"/>
      <c r="N15" s="133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805"/>
      <c r="AP15" s="805" t="str">
        <f>IF(T15="","",T15)</f>
        <v>Добавить территорию для дифференциации</v>
      </c>
      <c r="AQ15" s="805"/>
      <c r="AR15" s="805"/>
      <c r="AS15" s="534">
        <v>0</v>
      </c>
    </row>
    <row customHeight="1" ht="14.25" hidden="1">
      <c r="AC16" s="343"/>
      <c r="AK16" s="343"/>
      <c r="AS16" s="1171">
        <v>0</v>
      </c>
    </row>
    <row customHeight="1" ht="14.25" hidden="1">
      <c r="AD17" s="1376"/>
      <c r="AE17" s="1376"/>
      <c r="AF17" s="1376"/>
      <c r="AG17" s="1377"/>
      <c r="AH17" s="2283"/>
      <c r="AI17" s="2284" t="s">
        <v>64</v>
      </c>
      <c r="AJ17" s="2283"/>
      <c r="AK17" s="2284" t="s">
        <v>64</v>
      </c>
      <c r="AS17" s="1171">
        <v>0</v>
      </c>
    </row>
    <row customHeight="1" ht="14.25" hidden="1">
      <c r="AD18" s="1376"/>
      <c r="AE18" s="1376"/>
      <c r="AF18" s="1376"/>
      <c r="AG18" s="344" t="str">
        <f>AH17&amp;"-"&amp;AJ17</f>
        <v>-</v>
      </c>
      <c r="AH18" s="2284"/>
      <c r="AI18" s="2284"/>
      <c r="AJ18" s="2284"/>
      <c r="AK18" s="2284"/>
      <c r="AS18" s="1171">
        <v>0</v>
      </c>
    </row>
    <row customHeight="1" ht="14.25" hidden="1">
      <c r="AK19" s="343"/>
      <c r="AS19" s="1171">
        <v>0</v>
      </c>
    </row>
    <row s="1382" customFormat="1" customHeight="1" ht="22.5" hidden="1">
      <c r="L20" s="1345"/>
      <c r="M20" s="1378"/>
      <c r="N20" s="1378"/>
      <c r="O20" s="1383" t="s">
        <v>567</v>
      </c>
      <c r="P20" s="1378"/>
      <c r="Q20" s="1387"/>
      <c r="R20" s="1387"/>
      <c r="S20" s="745"/>
      <c r="Z20" s="1383"/>
      <c r="AB20" s="1383"/>
      <c r="AC20" s="1382"/>
      <c r="AH20" s="1383"/>
      <c r="AJ20" s="1383"/>
      <c r="AK20" s="1382"/>
      <c r="AN20" s="527"/>
      <c r="AO20" s="527"/>
      <c r="AP20" s="527"/>
      <c r="AQ20" s="527"/>
      <c r="AR20" s="527"/>
      <c r="AS20" s="1176">
        <v>0</v>
      </c>
    </row>
    <row s="1382" customFormat="1" customHeight="1" ht="14.25" hidden="1">
      <c r="L21" s="1345"/>
      <c r="M21" s="1378"/>
      <c r="N21" s="1378"/>
      <c r="O21" s="1378"/>
      <c r="P21" s="1378"/>
      <c r="Q21" s="1387"/>
      <c r="R21" s="1387"/>
      <c r="S21" s="745"/>
      <c r="AC21" s="1382"/>
      <c r="AK21" s="1382"/>
      <c r="AN21" s="527"/>
      <c r="AO21" s="527"/>
      <c r="AP21" s="527"/>
      <c r="AQ21" s="527"/>
      <c r="AR21" s="527"/>
      <c r="AS21" s="1176">
        <v>0</v>
      </c>
    </row>
    <row s="1382" customFormat="1" customHeight="1" ht="14.25" hidden="1">
      <c r="L22" s="1345"/>
      <c r="M22" s="1378"/>
      <c r="N22" s="1378"/>
      <c r="O22" s="1380" t="s">
        <v>568</v>
      </c>
      <c r="P22" s="1378"/>
      <c r="Q22" s="1387"/>
      <c r="R22" s="1387"/>
      <c r="S22" s="745"/>
      <c r="T22" s="1176" t="s">
        <v>569</v>
      </c>
      <c r="AA22" s="202" t="s">
        <v>570</v>
      </c>
      <c r="AC22" s="202" t="s">
        <v>571</v>
      </c>
      <c r="AD22" s="1176" t="s">
        <v>569</v>
      </c>
      <c r="AI22" s="202" t="s">
        <v>572</v>
      </c>
      <c r="AK22" s="202" t="s">
        <v>571</v>
      </c>
      <c r="AN22" s="527"/>
      <c r="AO22" s="527"/>
      <c r="AP22" s="527"/>
      <c r="AQ22" s="527"/>
      <c r="AR22" s="527"/>
      <c r="AS22" s="1176">
        <v>0</v>
      </c>
    </row>
    <row customHeight="1" ht="14.25" hidden="1">
      <c r="O23" s="1380"/>
      <c r="AS23" s="1171">
        <v>0</v>
      </c>
    </row>
    <row customHeight="1" ht="14.25" hidden="1">
      <c r="O24" s="1380"/>
      <c r="AS24" s="1171">
        <v>0</v>
      </c>
    </row>
    <row customHeight="1" ht="14.699999999999998">
      <c r="Q25" s="392"/>
      <c r="R25" s="392"/>
      <c r="S25" s="1291"/>
      <c r="T25" s="379"/>
      <c r="U25" s="379"/>
      <c r="V25" s="525"/>
      <c r="W25" s="525"/>
      <c r="X25" s="525"/>
      <c r="Y25" s="525"/>
      <c r="Z25" s="525"/>
      <c r="AA25" s="525"/>
      <c r="AB25" s="525"/>
      <c r="AC25" s="525"/>
      <c r="AD25" s="525"/>
      <c r="AE25" s="525"/>
      <c r="AF25" s="525"/>
      <c r="AG25" s="525"/>
      <c r="AH25" s="525"/>
      <c r="AI25" s="525"/>
      <c r="AJ25" s="525"/>
      <c r="AK25" s="525"/>
      <c r="AS25" s="1171">
        <v>14</v>
      </c>
    </row>
    <row customHeight="1" ht="54.75">
      <c r="Q26" s="392"/>
      <c r="R26" s="392"/>
      <c r="S26" s="232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259"/>
      <c r="AS26" s="1171">
        <v>52</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171">
        <v>14</v>
      </c>
    </row>
    <row customHeight="1" ht="14.25">
      <c r="Q28" s="392"/>
      <c r="R28" s="392"/>
      <c r="S28" s="1291"/>
      <c r="T28" s="379"/>
      <c r="U28" s="379"/>
      <c r="V28" s="338"/>
      <c r="W28" s="338"/>
      <c r="X28" s="338"/>
      <c r="Y28" s="338"/>
      <c r="Z28" s="338"/>
      <c r="AA28" s="338"/>
      <c r="AB28" s="338"/>
      <c r="AC28" s="338"/>
      <c r="AD28" s="338"/>
      <c r="AE28" s="338"/>
      <c r="AF28" s="338"/>
      <c r="AG28" s="338"/>
      <c r="AH28" s="338"/>
      <c r="AI28" s="338"/>
      <c r="AJ28" s="338"/>
      <c r="AK28" s="338"/>
      <c r="AL28" s="525"/>
      <c r="AS28" s="1171">
        <v>0</v>
      </c>
    </row>
    <row s="1869" customFormat="1" customHeight="1" ht="25.5">
      <c r="A29" s="1384"/>
      <c r="B29" s="1384"/>
      <c r="C29" s="1384"/>
      <c r="D29" s="1384"/>
      <c r="E29" s="1384"/>
      <c r="F29" s="1384"/>
      <c r="G29" s="1384"/>
      <c r="H29" s="1384"/>
      <c r="I29" s="1384"/>
      <c r="J29" s="1384"/>
      <c r="K29" s="1384"/>
      <c r="L29" s="1385"/>
      <c r="M29" s="1384"/>
      <c r="N29" s="1384"/>
      <c r="O29" s="138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342"/>
      <c r="AD29" s="2267" t="str">
        <f>IF(TITLE_NAME_OR_PR_CHANGE="",IF(TITLE_NAME_OR_PR="","",TITLE_NAME_OR_PR),TITLE_NAME_OR_PR_CHANGE)</f>
        <v>Агентство по тарифам Приморского края</v>
      </c>
      <c r="AE29" s="2267"/>
      <c r="AF29" s="2267"/>
      <c r="AG29" s="2267"/>
      <c r="AH29" s="2267"/>
      <c r="AI29" s="2267"/>
      <c r="AJ29" s="2267"/>
      <c r="AK29" s="342"/>
      <c r="AL29" s="342"/>
      <c r="AM29" s="296"/>
      <c r="AN29" s="384"/>
      <c r="AO29" s="384"/>
      <c r="AP29" s="384"/>
      <c r="AQ29" s="384"/>
      <c r="AR29" s="384"/>
      <c r="AS29" s="434">
        <v>0</v>
      </c>
    </row>
    <row s="1869" customFormat="1" customHeight="1" ht="18.75">
      <c r="A30" s="1384"/>
      <c r="B30" s="1384"/>
      <c r="C30" s="1384"/>
      <c r="D30" s="1384"/>
      <c r="E30" s="1384"/>
      <c r="F30" s="1384"/>
      <c r="G30" s="1384"/>
      <c r="H30" s="1384"/>
      <c r="I30" s="1384"/>
      <c r="J30" s="1384"/>
      <c r="K30" s="1384"/>
      <c r="L30" s="1385"/>
      <c r="M30" s="1384"/>
      <c r="N30" s="1384"/>
      <c r="O30" s="1384"/>
      <c r="S30" s="2266" t="s">
        <v>573</v>
      </c>
      <c r="T30" s="2266"/>
      <c r="U30" s="1388"/>
      <c r="V30" s="2280" t="str">
        <f>IF(TITLE_DATE_PR_CHANGE="",IF(TITLE_DATE_PR="","",TITLE_DATE_PR),TITLE_DATE_PR_CHANGE)</f>
        <v>45910</v>
      </c>
      <c r="W30" s="2280"/>
      <c r="X30" s="2280"/>
      <c r="Y30" s="2280"/>
      <c r="Z30" s="2280"/>
      <c r="AA30" s="2280"/>
      <c r="AB30" s="2280"/>
      <c r="AC30" s="342"/>
      <c r="AD30" s="2280" t="str">
        <f>IF(TITLE_DATE_PR_CHANGE="",IF(TITLE_DATE_PR="","",TITLE_DATE_PR),TITLE_DATE_PR_CHANGE)</f>
        <v>45910</v>
      </c>
      <c r="AE30" s="2280"/>
      <c r="AF30" s="2280"/>
      <c r="AG30" s="2280"/>
      <c r="AH30" s="2280"/>
      <c r="AI30" s="2280"/>
      <c r="AJ30" s="2280"/>
      <c r="AK30" s="342"/>
      <c r="AL30" s="342"/>
      <c r="AM30" s="296"/>
      <c r="AN30" s="384"/>
      <c r="AO30" s="384"/>
      <c r="AP30" s="384"/>
      <c r="AQ30" s="384"/>
      <c r="AR30" s="384"/>
      <c r="AS30" s="434">
        <v>0</v>
      </c>
    </row>
    <row s="1869" customFormat="1" customHeight="1" ht="18.75">
      <c r="A31" s="1384"/>
      <c r="B31" s="1384"/>
      <c r="C31" s="1384"/>
      <c r="D31" s="1384"/>
      <c r="E31" s="1384"/>
      <c r="F31" s="1384"/>
      <c r="G31" s="1384"/>
      <c r="H31" s="1384"/>
      <c r="I31" s="1384"/>
      <c r="J31" s="1384"/>
      <c r="K31" s="1384"/>
      <c r="L31" s="1385"/>
      <c r="M31" s="1384"/>
      <c r="N31" s="1384"/>
      <c r="O31" s="1384"/>
      <c r="S31" s="2266" t="s">
        <v>574</v>
      </c>
      <c r="T31" s="2266"/>
      <c r="U31" s="1388"/>
      <c r="V31" s="2267" t="str">
        <f>IF(TITLE_NUMBER_PR_CHANGE="",IF(TITLE_NUMBER_PR="","",TITLE_NUMBER_PR),TITLE_NUMBER_PR_CHANGE)</f>
        <v>37/2</v>
      </c>
      <c r="W31" s="2267"/>
      <c r="X31" s="2267"/>
      <c r="Y31" s="2267"/>
      <c r="Z31" s="2267"/>
      <c r="AA31" s="2267"/>
      <c r="AB31" s="2267"/>
      <c r="AC31" s="342"/>
      <c r="AD31" s="2267" t="str">
        <f>IF(TITLE_NUMBER_PR_CHANGE="",IF(TITLE_NUMBER_PR="","",TITLE_NUMBER_PR),TITLE_NUMBER_PR_CHANGE)</f>
        <v>37/2</v>
      </c>
      <c r="AE31" s="2267"/>
      <c r="AF31" s="2267"/>
      <c r="AG31" s="2267"/>
      <c r="AH31" s="2267"/>
      <c r="AI31" s="2267"/>
      <c r="AJ31" s="2267"/>
      <c r="AK31" s="342"/>
      <c r="AL31" s="342"/>
      <c r="AM31" s="296"/>
      <c r="AN31" s="384"/>
      <c r="AO31" s="384"/>
      <c r="AP31" s="384"/>
      <c r="AQ31" s="384"/>
      <c r="AR31" s="384"/>
      <c r="AS31" s="434">
        <v>0</v>
      </c>
    </row>
    <row s="1869" customFormat="1" customHeight="1" ht="18.75">
      <c r="A32" s="1384"/>
      <c r="B32" s="1384"/>
      <c r="C32" s="1384"/>
      <c r="D32" s="1384"/>
      <c r="E32" s="1384"/>
      <c r="F32" s="1384"/>
      <c r="G32" s="1384"/>
      <c r="H32" s="1384"/>
      <c r="I32" s="1384"/>
      <c r="J32" s="1384"/>
      <c r="K32" s="1384"/>
      <c r="L32" s="1385"/>
      <c r="M32" s="1384"/>
      <c r="N32" s="1384"/>
      <c r="O32" s="1384"/>
      <c r="S32" s="2266" t="s">
        <v>44</v>
      </c>
      <c r="T32" s="2266"/>
      <c r="U32" s="1388"/>
      <c r="V32" s="2267" t="str">
        <f>IF(TITLE_IST_PUB_CHANGE="",IF(TITLE_IST_PUB="","",TITLE_IST_PUB),TITLE_IST_PUB_CHANGE)</f>
        <v>http://pravo.gov.ru</v>
      </c>
      <c r="W32" s="2267"/>
      <c r="X32" s="2267"/>
      <c r="Y32" s="2267"/>
      <c r="Z32" s="2267"/>
      <c r="AA32" s="2267"/>
      <c r="AB32" s="2267"/>
      <c r="AC32" s="342"/>
      <c r="AD32" s="2267" t="str">
        <f>IF(TITLE_IST_PUB_CHANGE="",IF(TITLE_IST_PUB="","",TITLE_IST_PUB),TITLE_IST_PUB_CHANGE)</f>
        <v>http://pravo.gov.ru</v>
      </c>
      <c r="AE32" s="2267"/>
      <c r="AF32" s="2267"/>
      <c r="AG32" s="2267"/>
      <c r="AH32" s="2267"/>
      <c r="AI32" s="2267"/>
      <c r="AJ32" s="2267"/>
      <c r="AK32" s="342"/>
      <c r="AL32" s="342"/>
      <c r="AM32" s="296"/>
      <c r="AN32" s="384"/>
      <c r="AO32" s="384"/>
      <c r="AP32" s="384"/>
      <c r="AQ32" s="384"/>
      <c r="AR32" s="384"/>
      <c r="AS32" s="434">
        <v>0</v>
      </c>
    </row>
    <row customHeight="1" ht="14.25" hidden="1">
      <c r="Q33" s="392"/>
      <c r="R33" s="392"/>
      <c r="S33" s="1291"/>
      <c r="T33" s="379"/>
      <c r="U33" s="379"/>
      <c r="V33" s="338"/>
      <c r="W33" s="338"/>
      <c r="X33" s="338"/>
      <c r="Y33" s="338"/>
      <c r="Z33" s="338"/>
      <c r="AA33" s="338"/>
      <c r="AB33" s="338"/>
      <c r="AC33" s="338"/>
      <c r="AD33" s="338"/>
      <c r="AE33" s="338"/>
      <c r="AF33" s="338"/>
      <c r="AG33" s="338"/>
      <c r="AH33" s="338"/>
      <c r="AI33" s="338"/>
      <c r="AJ33" s="338"/>
      <c r="AK33" s="338"/>
      <c r="AL33" s="525"/>
      <c r="AS33" s="1171">
        <v>0</v>
      </c>
    </row>
    <row s="1869" customFormat="1" customHeight="1" ht="18.75" hidden="1">
      <c r="A34" s="1384"/>
      <c r="B34" s="1384"/>
      <c r="C34" s="1384"/>
      <c r="D34" s="1384"/>
      <c r="E34" s="1384"/>
      <c r="F34" s="1384"/>
      <c r="G34" s="1384"/>
      <c r="H34" s="1384"/>
      <c r="I34" s="1384"/>
      <c r="J34" s="1384"/>
      <c r="K34" s="1384"/>
      <c r="L34" s="1385"/>
      <c r="M34" s="1384"/>
      <c r="N34" s="1384"/>
      <c r="O34" s="1384"/>
      <c r="S34" s="2266" t="s">
        <v>575</v>
      </c>
      <c r="T34" s="2266"/>
      <c r="U34" s="1388"/>
      <c r="V34" s="2280" t="str">
        <f>IF(TITLE_DATE_PR_CHANGE="",IF(TITLE_DATE_PR="","",TITLE_DATE_PR),TITLE_DATE_PR_CHANGE)</f>
        <v>45910</v>
      </c>
      <c r="W34" s="2280"/>
      <c r="X34" s="2280"/>
      <c r="Y34" s="2280"/>
      <c r="Z34" s="2280"/>
      <c r="AA34" s="2280"/>
      <c r="AB34" s="2280"/>
      <c r="AC34" s="342"/>
      <c r="AD34" s="2280" t="str">
        <f>IF(TITLE_DATE_PR_CHANGE="",IF(TITLE_DATE_PR="","",TITLE_DATE_PR),TITLE_DATE_PR_CHANGE)</f>
        <v>45910</v>
      </c>
      <c r="AE34" s="2280"/>
      <c r="AF34" s="2280"/>
      <c r="AG34" s="2280"/>
      <c r="AH34" s="2280"/>
      <c r="AI34" s="2280"/>
      <c r="AJ34" s="2280"/>
      <c r="AK34" s="342"/>
      <c r="AL34" s="342"/>
      <c r="AM34" s="296"/>
      <c r="AN34" s="384"/>
      <c r="AO34" s="384"/>
      <c r="AP34" s="384"/>
      <c r="AQ34" s="384"/>
      <c r="AR34" s="384"/>
      <c r="AS34" s="434">
        <v>0</v>
      </c>
    </row>
    <row s="1869" customFormat="1" customHeight="1" ht="18.75" hidden="1">
      <c r="A35" s="1384"/>
      <c r="B35" s="1384"/>
      <c r="C35" s="1384"/>
      <c r="D35" s="1384"/>
      <c r="E35" s="1384"/>
      <c r="F35" s="1384"/>
      <c r="G35" s="1384"/>
      <c r="H35" s="1384"/>
      <c r="I35" s="1384"/>
      <c r="J35" s="1384"/>
      <c r="K35" s="1384"/>
      <c r="L35" s="1385"/>
      <c r="M35" s="1384"/>
      <c r="N35" s="1384"/>
      <c r="O35" s="1384"/>
      <c r="S35" s="2266" t="s">
        <v>576</v>
      </c>
      <c r="T35" s="2266"/>
      <c r="U35" s="1388"/>
      <c r="V35" s="2267" t="str">
        <f>IF(TITLE_NUMBER_PR_CHANGE="",IF(TITLE_NUMBER_PR="","",TITLE_NUMBER_PR),TITLE_NUMBER_PR_CHANGE)</f>
        <v>37/2</v>
      </c>
      <c r="W35" s="2267"/>
      <c r="X35" s="2267"/>
      <c r="Y35" s="2267"/>
      <c r="Z35" s="2267"/>
      <c r="AA35" s="2267"/>
      <c r="AB35" s="2267"/>
      <c r="AC35" s="342"/>
      <c r="AD35" s="2267" t="str">
        <f>IF(TITLE_NUMBER_PR_CHANGE="",IF(TITLE_NUMBER_PR="","",TITLE_NUMBER_PR),TITLE_NUMBER_PR_CHANGE)</f>
        <v>37/2</v>
      </c>
      <c r="AE35" s="2267"/>
      <c r="AF35" s="2267"/>
      <c r="AG35" s="2267"/>
      <c r="AH35" s="2267"/>
      <c r="AI35" s="2267"/>
      <c r="AJ35" s="2267"/>
      <c r="AK35" s="342"/>
      <c r="AL35" s="342"/>
      <c r="AM35" s="296"/>
      <c r="AN35" s="384"/>
      <c r="AO35" s="384"/>
      <c r="AP35" s="384"/>
      <c r="AQ35" s="384"/>
      <c r="AR35" s="384"/>
      <c r="AS35" s="434">
        <v>0</v>
      </c>
    </row>
    <row s="1869" customFormat="1" customHeight="1" ht="0">
      <c r="A36" s="1384"/>
      <c r="B36" s="1384"/>
      <c r="C36" s="1384"/>
      <c r="D36" s="1384"/>
      <c r="E36" s="1384"/>
      <c r="F36" s="1384"/>
      <c r="G36" s="1384"/>
      <c r="H36" s="1384"/>
      <c r="I36" s="1384"/>
      <c r="J36" s="1384"/>
      <c r="K36" s="1384"/>
      <c r="L36" s="1385"/>
      <c r="M36" s="1384"/>
      <c r="N36" s="1384"/>
      <c r="O36" s="1384"/>
      <c r="S36" s="339"/>
      <c r="T36" s="339"/>
      <c r="U36" s="1356"/>
      <c r="V36" s="342"/>
      <c r="W36" s="342"/>
      <c r="X36" s="342"/>
      <c r="Y36" s="342"/>
      <c r="Z36" s="342"/>
      <c r="AA36" s="342"/>
      <c r="AB36" s="342"/>
      <c r="AC36" s="294" t="s">
        <v>577</v>
      </c>
      <c r="AD36" s="342"/>
      <c r="AE36" s="342"/>
      <c r="AF36" s="342"/>
      <c r="AG36" s="342"/>
      <c r="AH36" s="342"/>
      <c r="AI36" s="342"/>
      <c r="AJ36" s="342"/>
      <c r="AK36" s="294" t="s">
        <v>577</v>
      </c>
      <c r="AN36" s="384"/>
      <c r="AO36" s="384"/>
      <c r="AP36" s="384"/>
      <c r="AQ36" s="384"/>
      <c r="AR36" s="384"/>
      <c r="AS36" s="434">
        <v>0</v>
      </c>
    </row>
    <row customHeight="1" ht="14.699999999999998">
      <c r="Q37" s="392"/>
      <c r="R37" s="392"/>
      <c r="S37" s="1291"/>
      <c r="T37" s="379"/>
      <c r="U37" s="1260"/>
      <c r="V37" s="2268"/>
      <c r="W37" s="2268"/>
      <c r="X37" s="2268"/>
      <c r="Y37" s="2268"/>
      <c r="Z37" s="2268"/>
      <c r="AA37" s="2268"/>
      <c r="AB37" s="2268"/>
      <c r="AC37" s="2268"/>
      <c r="AD37" s="2268"/>
      <c r="AE37" s="2268"/>
      <c r="AF37" s="2268"/>
      <c r="AG37" s="2268"/>
      <c r="AH37" s="2268"/>
      <c r="AI37" s="2268"/>
      <c r="AJ37" s="2268"/>
      <c r="AK37" s="2268"/>
      <c r="AS37" s="1171">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171">
        <v>14</v>
      </c>
    </row>
    <row customHeight="1" ht="14.699999999999998">
      <c r="Q39" s="392"/>
      <c r="R39" s="392"/>
      <c r="S39" s="2289" t="s">
        <v>91</v>
      </c>
      <c r="T39" s="2225" t="s">
        <v>578</v>
      </c>
      <c r="U39" s="317"/>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171">
        <v>14</v>
      </c>
    </row>
    <row customHeight="1" ht="35.699999999999996">
      <c r="Q40" s="392"/>
      <c r="R40" s="392"/>
      <c r="S40" s="2289"/>
      <c r="T40" s="2225"/>
      <c r="U40" s="1047"/>
      <c r="V40" s="2276" t="s">
        <v>583</v>
      </c>
      <c r="W40" s="2299"/>
      <c r="X40" s="2278" t="s">
        <v>585</v>
      </c>
      <c r="Y40" s="2279"/>
      <c r="Z40" s="2278" t="s">
        <v>586</v>
      </c>
      <c r="AA40" s="2285"/>
      <c r="AB40" s="2279"/>
      <c r="AC40" s="2294"/>
      <c r="AD40" s="2276" t="s">
        <v>599</v>
      </c>
      <c r="AE40" s="2299"/>
      <c r="AF40" s="2278" t="s">
        <v>585</v>
      </c>
      <c r="AG40" s="2279"/>
      <c r="AH40" s="2278" t="s">
        <v>586</v>
      </c>
      <c r="AI40" s="2285"/>
      <c r="AJ40" s="2279"/>
      <c r="AK40" s="2294"/>
      <c r="AL40" s="2297"/>
      <c r="AM40" s="2143"/>
      <c r="AS40" s="1171">
        <v>34</v>
      </c>
    </row>
    <row customHeight="1" ht="35.699999999999996">
      <c r="A41" s="1386"/>
      <c r="B41" s="1386" t="s">
        <v>204</v>
      </c>
      <c r="C41" s="1386" t="s">
        <v>205</v>
      </c>
      <c r="D41" s="1386" t="s">
        <v>206</v>
      </c>
      <c r="E41" s="1380" t="s">
        <v>587</v>
      </c>
      <c r="F41" s="1380" t="s">
        <v>588</v>
      </c>
      <c r="G41" s="1380" t="s">
        <v>589</v>
      </c>
      <c r="H41" s="1380" t="s">
        <v>590</v>
      </c>
      <c r="I41" s="1380" t="s">
        <v>591</v>
      </c>
      <c r="J41" s="1380" t="s">
        <v>592</v>
      </c>
      <c r="K41" s="1380" t="s">
        <v>593</v>
      </c>
      <c r="L41" s="1380" t="s">
        <v>568</v>
      </c>
      <c r="Q41" s="392"/>
      <c r="R41" s="392"/>
      <c r="S41" s="2289"/>
      <c r="T41" s="2225"/>
      <c r="U41" s="318"/>
      <c r="V41" s="2277"/>
      <c r="W41" s="2300"/>
      <c r="X41" s="1238" t="s">
        <v>594</v>
      </c>
      <c r="Y41" s="1238" t="s">
        <v>595</v>
      </c>
      <c r="Z41" s="1354" t="s">
        <v>596</v>
      </c>
      <c r="AA41" s="2286" t="s">
        <v>597</v>
      </c>
      <c r="AB41" s="2287"/>
      <c r="AC41" s="2295"/>
      <c r="AD41" s="2277"/>
      <c r="AE41" s="2300"/>
      <c r="AF41" s="1238" t="s">
        <v>594</v>
      </c>
      <c r="AG41" s="1238" t="s">
        <v>595</v>
      </c>
      <c r="AH41" s="1354" t="s">
        <v>596</v>
      </c>
      <c r="AI41" s="2286" t="s">
        <v>597</v>
      </c>
      <c r="AJ41" s="2287"/>
      <c r="AK41" s="2295"/>
      <c r="AL41" s="2298"/>
      <c r="AM41" s="2143"/>
      <c r="AS41" s="1171">
        <v>34</v>
      </c>
    </row>
    <row s="1657" customFormat="1" customHeight="1" ht="11.25" hidden="1">
      <c r="A42" s="1386"/>
      <c r="B42" s="1386"/>
      <c r="C42" s="1386"/>
      <c r="D42" s="1386"/>
      <c r="E42" s="1386"/>
      <c r="F42" s="1386"/>
      <c r="G42" s="1386"/>
      <c r="H42" s="1386"/>
      <c r="I42" s="1386"/>
      <c r="J42" s="1386"/>
      <c r="K42" s="1386"/>
      <c r="L42" s="1380"/>
      <c r="M42" s="1378"/>
      <c r="N42" s="1378"/>
      <c r="O42" s="1378"/>
      <c r="P42" s="1262"/>
      <c r="Q42" s="1263"/>
      <c r="R42" s="1270">
        <v>1</v>
      </c>
      <c r="S42" s="1293" t="s">
        <v>141</v>
      </c>
      <c r="T42" s="1271" t="s">
        <v>107</v>
      </c>
      <c r="U42" s="1261" t="str">
        <f>OFFSET(U42,0,-1)</f>
        <v>2</v>
      </c>
      <c r="V42" s="1351">
        <f>OFFSET(V42,0,-1)+1</f>
        <v>3</v>
      </c>
      <c r="W42" s="1351"/>
      <c r="X42" s="1351">
        <f>OFFSET(X42,0,-1)+1</f>
        <v>1</v>
      </c>
      <c r="Y42" s="1351">
        <f>OFFSET(Y42,0,-1)+1</f>
        <v>2</v>
      </c>
      <c r="Z42" s="1351">
        <f>OFFSET(Z42,0,-1)+1</f>
        <v>3</v>
      </c>
      <c r="AA42" s="2288">
        <f>OFFSET(AA42,0,-1)+1</f>
        <v>4</v>
      </c>
      <c r="AB42" s="2288"/>
      <c r="AC42" s="1351">
        <f>OFFSET(AC42,0,-2)+1</f>
        <v>5</v>
      </c>
      <c r="AD42" s="1351">
        <f>OFFSET(AD42,0,-1)+1</f>
        <v>6</v>
      </c>
      <c r="AE42" s="1351"/>
      <c r="AF42" s="1351">
        <f>OFFSET(AF42,0,-1)+1</f>
        <v>1</v>
      </c>
      <c r="AG42" s="1351">
        <f>OFFSET(AG42,0,-1)+1</f>
        <v>2</v>
      </c>
      <c r="AH42" s="1351">
        <f>OFFSET(AH42,0,-1)+1</f>
        <v>3</v>
      </c>
      <c r="AI42" s="2288">
        <f>OFFSET(AI42,0,-1)+1</f>
        <v>4</v>
      </c>
      <c r="AJ42" s="2288"/>
      <c r="AK42" s="1351">
        <f>OFFSET(AK42,0,-2)+1</f>
        <v>5</v>
      </c>
      <c r="AL42" s="1261">
        <f>OFFSET(AL42,0,-1)</f>
        <v>5</v>
      </c>
      <c r="AM42" s="1351">
        <f>OFFSET(AM42,0,-1)+1</f>
        <v>6</v>
      </c>
      <c r="AN42" s="527"/>
      <c r="AO42" s="527"/>
      <c r="AP42" s="527"/>
      <c r="AQ42" s="527"/>
      <c r="AR42" s="527"/>
      <c r="AS42" s="512">
        <v>0</v>
      </c>
    </row>
    <row customHeight="1" ht="22.049999999999997">
      <c r="A43" s="1379" t="s">
        <v>243</v>
      </c>
      <c r="B43" s="1379"/>
      <c r="C43" s="1379"/>
      <c r="D43" s="1379"/>
      <c r="E43" s="2274">
        <v>1</v>
      </c>
      <c r="F43" s="1379"/>
      <c r="G43" s="1379"/>
      <c r="H43" s="1379"/>
      <c r="I43" s="1379"/>
      <c r="J43" s="1379"/>
      <c r="K43" s="1379"/>
      <c r="L43" s="1380"/>
      <c r="M43" s="1381"/>
      <c r="N43" s="1381"/>
      <c r="O43" s="1381"/>
      <c r="P43" s="377"/>
      <c r="Q43" s="376"/>
      <c r="R43" s="371"/>
      <c r="S43" s="1352">
        <f>INDEX(PT_DIFFERENTIATION_NUM_NTAR,MATCH(A43,PT_DIFFERENTIATION_NTAR_ID,0))</f>
        <v>0</v>
      </c>
      <c r="T43" s="314"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6"/>
      <c r="AP43" s="516" t="str">
        <f>IF(T43="","",T43)</f>
        <v>Наименование тарифа</v>
      </c>
      <c r="AQ43" s="516"/>
      <c r="AR43" s="516"/>
      <c r="AS43" s="1171">
        <v>21</v>
      </c>
    </row>
    <row customHeight="1" ht="22.049999999999997">
      <c r="A44" s="1379" t="s">
        <v>243</v>
      </c>
      <c r="B44" s="1379" t="s">
        <v>244</v>
      </c>
      <c r="C44" s="1379"/>
      <c r="D44" s="1379"/>
      <c r="E44" s="2275"/>
      <c r="F44" s="2274">
        <v>1</v>
      </c>
      <c r="G44" s="1379"/>
      <c r="H44" s="1379"/>
      <c r="I44" s="1379"/>
      <c r="J44" s="1379"/>
      <c r="K44" s="1379"/>
      <c r="L44" s="1380"/>
      <c r="M44" s="1381"/>
      <c r="N44" s="1381"/>
      <c r="O44" s="1381"/>
      <c r="P44" s="1348"/>
      <c r="Q44" s="368"/>
      <c r="R44" s="369"/>
      <c r="S44" s="1352" t="str">
        <f>INDEX(PT_DIFFERENTIATION_NUM_TER,MATCH(B44,PT_DIFFERENTIATION_TER_ID,0))</f>
        <v>.</v>
      </c>
      <c r="T44" s="324"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516"/>
      <c r="AP44" s="516" t="str">
        <f>IF(T44="","",T44)</f>
        <v>Территория действия тарифа</v>
      </c>
      <c r="AQ44" s="516"/>
      <c r="AR44" s="516"/>
      <c r="AS44" s="1171">
        <v>21</v>
      </c>
    </row>
    <row customHeight="1" ht="24">
      <c r="A45" s="1379" t="s">
        <v>243</v>
      </c>
      <c r="B45" s="1379" t="s">
        <v>244</v>
      </c>
      <c r="C45" s="1379" t="s">
        <v>245</v>
      </c>
      <c r="D45" s="1379"/>
      <c r="E45" s="2275"/>
      <c r="F45" s="2275"/>
      <c r="G45" s="2274">
        <v>1</v>
      </c>
      <c r="H45" s="1379"/>
      <c r="I45" s="1379"/>
      <c r="J45" s="1379"/>
      <c r="K45" s="1379"/>
      <c r="L45" s="1380"/>
      <c r="M45" s="1381"/>
      <c r="N45" s="1381"/>
      <c r="O45" s="1381"/>
      <c r="P45" s="370"/>
      <c r="Q45" s="368"/>
      <c r="R45" s="369"/>
      <c r="S45" s="1352"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516"/>
      <c r="AP45" s="516" t="str">
        <f>IF(T45="","",T45)</f>
        <v>Наименование системы теплоснабжения </v>
      </c>
      <c r="AQ45" s="516"/>
      <c r="AR45" s="516"/>
      <c r="AS45" s="1171">
        <v>23</v>
      </c>
    </row>
    <row customHeight="1" ht="22.049999999999997">
      <c r="A46" s="1379" t="s">
        <v>243</v>
      </c>
      <c r="B46" s="1379" t="s">
        <v>244</v>
      </c>
      <c r="C46" s="1379" t="s">
        <v>245</v>
      </c>
      <c r="D46" s="1379" t="s">
        <v>246</v>
      </c>
      <c r="E46" s="2275"/>
      <c r="F46" s="2275"/>
      <c r="G46" s="2275"/>
      <c r="H46" s="2274">
        <v>1</v>
      </c>
      <c r="I46" s="1379"/>
      <c r="J46" s="1379"/>
      <c r="K46" s="1379"/>
      <c r="L46" s="1380"/>
      <c r="M46" s="1381"/>
      <c r="N46" s="1381"/>
      <c r="O46" s="1381"/>
      <c r="P46" s="370"/>
      <c r="Q46" s="368"/>
      <c r="R46" s="369"/>
      <c r="S46" s="1352"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516"/>
      <c r="AP46" s="516" t="str">
        <f>IF(T46="","",T46)</f>
        <v>Источник тепловой энергии  </v>
      </c>
      <c r="AQ46" s="516"/>
      <c r="AR46" s="516"/>
      <c r="AS46" s="1171">
        <v>21</v>
      </c>
    </row>
    <row s="1658" customFormat="1" customHeight="1" ht="0">
      <c r="A47" s="1359" t="s">
        <v>243</v>
      </c>
      <c r="B47" s="1359" t="s">
        <v>244</v>
      </c>
      <c r="C47" s="1359" t="s">
        <v>245</v>
      </c>
      <c r="D47" s="1359" t="s">
        <v>246</v>
      </c>
      <c r="E47" s="2275"/>
      <c r="F47" s="2275"/>
      <c r="G47" s="2275"/>
      <c r="H47" s="2275"/>
      <c r="I47" s="2272" t="str">
        <f>S46&amp;".1"</f>
        <v>....1</v>
      </c>
      <c r="J47" s="1359"/>
      <c r="K47" s="1359"/>
      <c r="L47" s="1362" t="s">
        <v>556</v>
      </c>
      <c r="M47" s="526"/>
      <c r="N47" s="526"/>
      <c r="O47" s="526"/>
      <c r="P47" s="2273">
        <v>1</v>
      </c>
      <c r="Q47" s="1347"/>
      <c r="R47" s="372"/>
      <c r="S47" s="1058"/>
      <c r="T47" s="1399"/>
      <c r="U47" s="1400"/>
      <c r="V47" s="2312"/>
      <c r="W47" s="2313"/>
      <c r="X47" s="2313"/>
      <c r="Y47" s="2313"/>
      <c r="Z47" s="2313"/>
      <c r="AA47" s="2313"/>
      <c r="AB47" s="2313"/>
      <c r="AC47" s="2314"/>
      <c r="AD47" s="2312"/>
      <c r="AE47" s="2313"/>
      <c r="AF47" s="2313"/>
      <c r="AG47" s="2313"/>
      <c r="AH47" s="2313"/>
      <c r="AI47" s="2313"/>
      <c r="AJ47" s="2313"/>
      <c r="AK47" s="2313"/>
      <c r="AL47" s="2314"/>
      <c r="AM47" s="1401"/>
      <c r="AO47" s="516"/>
      <c r="AP47" s="516" t="str">
        <f>IF(T47="","",T47)</f>
        <v/>
      </c>
      <c r="AQ47" s="516"/>
      <c r="AR47" s="516"/>
      <c r="AS47" s="527">
        <v>0</v>
      </c>
    </row>
    <row customHeight="1" ht="22.049999999999997">
      <c r="A48" s="1379" t="s">
        <v>243</v>
      </c>
      <c r="B48" s="1379" t="s">
        <v>244</v>
      </c>
      <c r="C48" s="1379" t="s">
        <v>245</v>
      </c>
      <c r="D48" s="1379" t="s">
        <v>246</v>
      </c>
      <c r="E48" s="2275"/>
      <c r="F48" s="2275"/>
      <c r="G48" s="2275"/>
      <c r="H48" s="2275"/>
      <c r="I48" s="2302"/>
      <c r="J48" s="2272" t="str">
        <f>S46&amp;".1"</f>
        <v>....1</v>
      </c>
      <c r="K48" s="1379"/>
      <c r="L48" s="1380" t="s">
        <v>559</v>
      </c>
      <c r="P48" s="2273"/>
      <c r="Q48" s="2273">
        <v>1</v>
      </c>
      <c r="R48" s="373"/>
      <c r="S48" s="1352" t="str">
        <f>$J48</f>
        <v>....1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516"/>
      <c r="AP48" s="516" t="str">
        <f>IF(T48="","",T48)</f>
        <v>Группа потребителей</v>
      </c>
      <c r="AQ48" s="516"/>
      <c r="AR48" s="516"/>
      <c r="AS48" s="1171">
        <v>21</v>
      </c>
    </row>
    <row customHeight="1" ht="22.049999999999997">
      <c r="A49" s="1379" t="s">
        <v>243</v>
      </c>
      <c r="B49" s="1379" t="s">
        <v>244</v>
      </c>
      <c r="C49" s="1379" t="s">
        <v>245</v>
      </c>
      <c r="D49" s="1379" t="s">
        <v>246</v>
      </c>
      <c r="E49" s="2275"/>
      <c r="F49" s="2275"/>
      <c r="G49" s="2275"/>
      <c r="H49" s="2275"/>
      <c r="I49" s="2302"/>
      <c r="J49" s="2302"/>
      <c r="K49" s="2272" t="str">
        <f>J48&amp;".1"</f>
        <v>....1.1</v>
      </c>
      <c r="L49" s="1380" t="s">
        <v>562</v>
      </c>
      <c r="P49" s="2273"/>
      <c r="Q49" s="2273"/>
      <c r="R49" s="373">
        <v>1</v>
      </c>
      <c r="S49" s="1352" t="str">
        <f>$K49</f>
        <v>....1.1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600</v>
      </c>
      <c r="AN49" s="527">
        <f>STRCHECKDATE(V50:AL50)</f>
      </c>
      <c r="AO49" s="516"/>
      <c r="AP49" s="516" t="str">
        <f>IF(T49="","",T49)</f>
        <v/>
      </c>
      <c r="AQ49" s="516"/>
      <c r="AR49" s="516"/>
      <c r="AS49" s="1171">
        <v>21</v>
      </c>
    </row>
    <row customHeight="1" ht="1.05">
      <c r="A50" s="1379" t="s">
        <v>243</v>
      </c>
      <c r="B50" s="1379" t="s">
        <v>244</v>
      </c>
      <c r="C50" s="1379" t="s">
        <v>245</v>
      </c>
      <c r="D50" s="1379" t="s">
        <v>246</v>
      </c>
      <c r="E50" s="2275"/>
      <c r="F50" s="2275"/>
      <c r="G50" s="2275"/>
      <c r="H50" s="2275"/>
      <c r="I50" s="2302"/>
      <c r="J50" s="2302"/>
      <c r="K50" s="2272"/>
      <c r="L50" s="1380"/>
      <c r="P50" s="2273"/>
      <c r="Q50" s="2273"/>
      <c r="R50" s="373"/>
      <c r="S50" s="1358"/>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516"/>
      <c r="AP50" s="516" t="str">
        <f>IF(T50="","",T50)</f>
        <v/>
      </c>
      <c r="AQ50" s="516"/>
      <c r="AR50" s="516"/>
      <c r="AS50" s="1171">
        <v>1</v>
      </c>
    </row>
    <row customHeight="1" ht="11.549999999999999">
      <c r="A51" s="1379" t="s">
        <v>243</v>
      </c>
      <c r="B51" s="1379" t="s">
        <v>244</v>
      </c>
      <c r="C51" s="1379" t="s">
        <v>245</v>
      </c>
      <c r="D51" s="1379" t="s">
        <v>246</v>
      </c>
      <c r="E51" s="2275"/>
      <c r="F51" s="2275"/>
      <c r="G51" s="2275"/>
      <c r="H51" s="2275"/>
      <c r="I51" s="2302"/>
      <c r="J51" s="2272"/>
      <c r="K51" s="1379"/>
      <c r="L51" s="1380"/>
      <c r="P51" s="2273"/>
      <c r="Q51" s="2273"/>
      <c r="R51" s="372"/>
      <c r="S51" s="1294"/>
      <c r="T51" s="303" t="s">
        <v>564</v>
      </c>
      <c r="U51" s="383"/>
      <c r="V51" s="383"/>
      <c r="W51" s="383"/>
      <c r="X51" s="383"/>
      <c r="Y51" s="383"/>
      <c r="Z51" s="383"/>
      <c r="AA51" s="383"/>
      <c r="AB51" s="383"/>
      <c r="AC51" s="383"/>
      <c r="AD51" s="383"/>
      <c r="AE51" s="383"/>
      <c r="AF51" s="383"/>
      <c r="AG51" s="383"/>
      <c r="AH51" s="383"/>
      <c r="AI51" s="383"/>
      <c r="AJ51" s="383"/>
      <c r="AK51" s="383"/>
      <c r="AL51" s="340"/>
      <c r="AM51" s="2271"/>
      <c r="AO51" s="516"/>
      <c r="AP51" s="516" t="str">
        <f>IF(T51="","",T51)</f>
        <v>Добавить вид теплоносителя (параметры теплоносителя)</v>
      </c>
      <c r="AQ51" s="516"/>
      <c r="AR51" s="516"/>
      <c r="AS51" s="1171">
        <v>11</v>
      </c>
    </row>
    <row customHeight="1" ht="11.549999999999999">
      <c r="A52" s="1379" t="s">
        <v>243</v>
      </c>
      <c r="B52" s="1379" t="s">
        <v>244</v>
      </c>
      <c r="C52" s="1379" t="s">
        <v>245</v>
      </c>
      <c r="D52" s="1379" t="s">
        <v>246</v>
      </c>
      <c r="E52" s="2275"/>
      <c r="F52" s="2275"/>
      <c r="G52" s="2275"/>
      <c r="H52" s="2275"/>
      <c r="I52" s="2272"/>
      <c r="J52" s="1379"/>
      <c r="K52" s="1379"/>
      <c r="L52" s="1380"/>
      <c r="P52" s="2273"/>
      <c r="Q52" s="1347"/>
      <c r="R52" s="372"/>
      <c r="S52" s="1294"/>
      <c r="T52" s="381" t="s">
        <v>565</v>
      </c>
      <c r="U52" s="383"/>
      <c r="V52" s="383"/>
      <c r="W52" s="383"/>
      <c r="X52" s="383"/>
      <c r="Y52" s="383"/>
      <c r="Z52" s="383"/>
      <c r="AA52" s="383"/>
      <c r="AB52" s="383"/>
      <c r="AC52" s="382"/>
      <c r="AD52" s="383"/>
      <c r="AE52" s="383"/>
      <c r="AF52" s="383"/>
      <c r="AG52" s="383"/>
      <c r="AH52" s="383"/>
      <c r="AI52" s="383"/>
      <c r="AJ52" s="383"/>
      <c r="AK52" s="382"/>
      <c r="AL52" s="383"/>
      <c r="AM52" s="319"/>
      <c r="AO52" s="516"/>
      <c r="AP52" s="516" t="str">
        <f>IF(T52="","",T52)</f>
        <v>Добавить группу потребителей</v>
      </c>
      <c r="AQ52" s="516"/>
      <c r="AR52" s="516"/>
      <c r="AS52" s="1171">
        <v>11</v>
      </c>
    </row>
    <row customHeight="1" ht="0">
      <c r="A53" s="1379" t="s">
        <v>243</v>
      </c>
      <c r="B53" s="1379" t="s">
        <v>244</v>
      </c>
      <c r="C53" s="1379" t="s">
        <v>245</v>
      </c>
      <c r="D53" s="1379" t="s">
        <v>246</v>
      </c>
      <c r="E53" s="2275"/>
      <c r="F53" s="2275"/>
      <c r="G53" s="2275"/>
      <c r="H53" s="2274"/>
      <c r="I53" s="1379"/>
      <c r="J53" s="1379"/>
      <c r="K53" s="1379"/>
      <c r="L53" s="1380"/>
      <c r="M53" s="1381"/>
      <c r="N53" s="1381"/>
      <c r="O53" s="553"/>
      <c r="P53" s="376"/>
      <c r="Q53" s="391"/>
      <c r="R53" s="371"/>
      <c r="S53" s="1402"/>
      <c r="T53" s="1403"/>
      <c r="U53" s="1404"/>
      <c r="V53" s="1404"/>
      <c r="W53" s="1404"/>
      <c r="X53" s="1404"/>
      <c r="Y53" s="1404"/>
      <c r="Z53" s="1404"/>
      <c r="AA53" s="1404"/>
      <c r="AB53" s="1404"/>
      <c r="AC53" s="1404"/>
      <c r="AD53" s="1404"/>
      <c r="AE53" s="1404"/>
      <c r="AF53" s="1404"/>
      <c r="AG53" s="1404"/>
      <c r="AH53" s="1404"/>
      <c r="AI53" s="1404"/>
      <c r="AJ53" s="1404"/>
      <c r="AK53" s="1404"/>
      <c r="AL53" s="1404"/>
      <c r="AM53" s="1405"/>
      <c r="AO53" s="516"/>
      <c r="AP53" s="516" t="str">
        <f>IF(T53="","",T53)</f>
        <v/>
      </c>
      <c r="AQ53" s="516"/>
      <c r="AR53" s="516"/>
      <c r="AS53" s="1171">
        <v>0</v>
      </c>
    </row>
    <row s="1658" customFormat="1" customHeight="1" ht="1.05">
      <c r="A54" s="1359" t="s">
        <v>243</v>
      </c>
      <c r="B54" s="1359" t="s">
        <v>244</v>
      </c>
      <c r="C54" s="1359" t="s">
        <v>245</v>
      </c>
      <c r="D54" s="1330"/>
      <c r="E54" s="2275"/>
      <c r="F54" s="2275"/>
      <c r="G54" s="2274"/>
      <c r="H54" s="1330"/>
      <c r="I54" s="1330"/>
      <c r="J54" s="1330"/>
      <c r="K54" s="1330"/>
      <c r="L54" s="1355"/>
      <c r="M54" s="1331"/>
      <c r="N54" s="133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805"/>
      <c r="AP54" s="805" t="str">
        <f>IF(T54="","",T54)</f>
        <v>Добавить источник для дифференциации</v>
      </c>
      <c r="AQ54" s="805"/>
      <c r="AR54" s="805"/>
      <c r="AS54" s="534">
        <v>1</v>
      </c>
    </row>
    <row s="1658" customFormat="1" customHeight="1" ht="1.05">
      <c r="A55" s="1359" t="s">
        <v>243</v>
      </c>
      <c r="B55" s="1359" t="s">
        <v>244</v>
      </c>
      <c r="C55" s="1330"/>
      <c r="D55" s="1330"/>
      <c r="E55" s="2275"/>
      <c r="F55" s="2274"/>
      <c r="G55" s="1330"/>
      <c r="H55" s="1330"/>
      <c r="I55" s="1330"/>
      <c r="J55" s="1330"/>
      <c r="K55" s="1330"/>
      <c r="L55" s="1355"/>
      <c r="M55" s="1337"/>
      <c r="N55" s="133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805"/>
      <c r="AP55" s="805" t="str">
        <f>IF(T55="","",T55)</f>
        <v>Добавить централизованную систему для дифференциации</v>
      </c>
      <c r="AQ55" s="805"/>
      <c r="AR55" s="805"/>
      <c r="AS55" s="534">
        <v>1</v>
      </c>
    </row>
    <row s="1658" customFormat="1" customHeight="1" ht="1.05">
      <c r="A56" s="1359" t="s">
        <v>243</v>
      </c>
      <c r="B56" s="1359"/>
      <c r="C56" s="1359"/>
      <c r="D56" s="1359"/>
      <c r="E56" s="2274"/>
      <c r="F56" s="1359"/>
      <c r="G56" s="1359"/>
      <c r="H56" s="1359"/>
      <c r="I56" s="1359"/>
      <c r="J56" s="1359"/>
      <c r="K56" s="1359"/>
      <c r="L56" s="1362"/>
      <c r="M56" s="1337"/>
      <c r="N56" s="1337"/>
      <c r="O56" s="534"/>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516"/>
      <c r="AP56" s="516" t="str">
        <f>IF(T56="","",T56)</f>
        <v>Добавить территорию для дифференциации</v>
      </c>
      <c r="AQ56" s="516"/>
      <c r="AR56" s="516"/>
      <c r="AS56" s="527">
        <v>1</v>
      </c>
    </row>
    <row s="1658" customFormat="1" customHeight="1" ht="1.05">
      <c r="A57" s="1330"/>
      <c r="B57" s="1330"/>
      <c r="C57" s="1330"/>
      <c r="D57" s="1330"/>
      <c r="E57" s="1359"/>
      <c r="F57" s="1330"/>
      <c r="G57" s="1330"/>
      <c r="H57" s="1330"/>
      <c r="I57" s="1330"/>
      <c r="J57" s="1330"/>
      <c r="K57" s="1330"/>
      <c r="L57" s="1355"/>
      <c r="M57" s="1337"/>
      <c r="N57" s="133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805"/>
      <c r="AP57" s="805" t="str">
        <f>IF(T57="","",T57)</f>
        <v>Добавить наименование тарифа</v>
      </c>
      <c r="AQ57" s="805"/>
      <c r="AR57" s="805"/>
      <c r="AS57" s="534">
        <v>1</v>
      </c>
    </row>
    <row customHeight="1" ht="11.549999999999999">
      <c r="M58" s="1176"/>
      <c r="N58" s="1176"/>
      <c r="O58" s="553"/>
      <c r="P58" s="1171"/>
      <c r="Q58" s="1171"/>
      <c r="R58" s="1171"/>
      <c r="S58" s="1171"/>
      <c r="AN58" s="1171"/>
      <c r="AO58" s="1171"/>
      <c r="AP58" s="1171"/>
      <c r="AQ58" s="1171"/>
      <c r="AR58" s="1171"/>
      <c r="AS58" s="1171">
        <v>11</v>
      </c>
    </row>
    <row customHeight="1" ht="23.25">
      <c r="O59" s="553"/>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71">
        <v>22</v>
      </c>
    </row>
    <row customHeight="1" ht="30.45">
      <c r="O60" s="553"/>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71">
        <v>29</v>
      </c>
    </row>
    <row customHeight="1" ht="42">
      <c r="O61" s="553"/>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71">
        <v>40</v>
      </c>
    </row>
    <row customHeight="1" ht="14.699999999999998">
      <c r="O62" s="553"/>
      <c r="AS62" s="1171">
        <v>14</v>
      </c>
    </row>
    <row customHeight="1" ht="21">
      <c r="O63" s="553"/>
      <c r="S63" s="1269"/>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71">
        <v>20</v>
      </c>
    </row>
    <row customHeight="1" ht="29.25">
      <c r="O64" s="553"/>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71">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71">
        <v>34</v>
      </c>
    </row>
    <row customHeight="1" ht="22.5" hidden="1">
      <c r="A66" s="1176" t="s">
        <v>85</v>
      </c>
      <c r="B66" s="1176">
        <v>0</v>
      </c>
      <c r="C66" s="1176">
        <v>0</v>
      </c>
      <c r="D66" s="1176">
        <v>0</v>
      </c>
      <c r="E66" s="1176">
        <v>0</v>
      </c>
      <c r="F66" s="1176">
        <v>0</v>
      </c>
      <c r="G66" s="1176">
        <v>0</v>
      </c>
      <c r="H66" s="1176">
        <v>0</v>
      </c>
      <c r="I66" s="1176">
        <v>0</v>
      </c>
      <c r="J66" s="1176">
        <v>0</v>
      </c>
      <c r="K66" s="1176">
        <v>0</v>
      </c>
      <c r="L66" s="1345">
        <v>0</v>
      </c>
      <c r="M66" s="1378">
        <v>0</v>
      </c>
      <c r="N66" s="1378">
        <v>0</v>
      </c>
      <c r="O66" s="1378">
        <v>0</v>
      </c>
      <c r="P66" s="1344">
        <v>0</v>
      </c>
      <c r="Q66" s="360">
        <v>3</v>
      </c>
      <c r="R66" s="360">
        <v>3</v>
      </c>
      <c r="S66" s="597">
        <v>12</v>
      </c>
      <c r="T66" s="1171">
        <v>31</v>
      </c>
      <c r="U66" s="1171">
        <v>0</v>
      </c>
      <c r="V66" s="1171">
        <v>0</v>
      </c>
      <c r="W66" s="1171">
        <v>0</v>
      </c>
      <c r="X66" s="1171">
        <v>0</v>
      </c>
      <c r="Y66" s="1171">
        <v>0</v>
      </c>
      <c r="Z66" s="1171">
        <v>0</v>
      </c>
      <c r="AA66" s="1171">
        <v>0</v>
      </c>
      <c r="AB66" s="1171">
        <v>0</v>
      </c>
      <c r="AC66" s="1171">
        <v>0</v>
      </c>
      <c r="AD66" s="1171">
        <v>24</v>
      </c>
      <c r="AE66" s="1171">
        <v>0</v>
      </c>
      <c r="AF66" s="1171">
        <v>24</v>
      </c>
      <c r="AG66" s="1171">
        <v>24</v>
      </c>
      <c r="AH66" s="1171">
        <v>11</v>
      </c>
      <c r="AI66" s="1171">
        <v>3</v>
      </c>
      <c r="AJ66" s="1171">
        <v>11</v>
      </c>
      <c r="AK66" s="1171">
        <v>0</v>
      </c>
      <c r="AL66" s="1171">
        <v>4</v>
      </c>
      <c r="AM66" s="1171">
        <v>115</v>
      </c>
      <c r="AN66" s="527">
        <v>10</v>
      </c>
      <c r="AO66" s="527">
        <v>10</v>
      </c>
      <c r="AP66" s="527">
        <v>10</v>
      </c>
      <c r="AQ66" s="527">
        <v>10</v>
      </c>
      <c r="AR66" s="527">
        <v>10</v>
      </c>
      <c r="AS66" s="117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CBAF9-2449-CD0A-0AA3-A0F6BA88DC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2413" width="3.7109375" hidden="1" customWidth="1"/>
    <col min="17" max="18" style="360" width="3.00390625" customWidth="1"/>
    <col min="19" max="19" style="2423" width="12.00390625" customWidth="1"/>
    <col min="20" max="20" style="1651" width="31.00390625" customWidth="1"/>
    <col min="21" max="21" style="1651" width="0.140625" customWidth="1"/>
    <col min="22" max="22" style="1651" width="24.7109375" hidden="1" customWidth="1"/>
    <col min="23" max="23" style="1651" width="0.140625" hidden="1" customWidth="1"/>
    <col min="24" max="25" style="1651" width="24.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24.7109375" customWidth="1"/>
    <col min="31" max="31" style="1651" width="0.140625" customWidth="1"/>
    <col min="32" max="33" style="1651" width="24.00390625" customWidth="1"/>
    <col min="34" max="34" style="1651" width="11.00390625" customWidth="1"/>
    <col min="35" max="35" style="1651" width="3.7109375" customWidth="1"/>
    <col min="36" max="36" style="1651" width="11.00390625" customWidth="1"/>
    <col min="37" max="37" style="1651" width="8.57421875" hidden="1" customWidth="1"/>
    <col min="38" max="38" style="1651" width="4.00390625" customWidth="1"/>
    <col min="39" max="39" style="1651" width="115.00390625" customWidth="1"/>
    <col min="40" max="44" style="1658" width="10.00390625" customWidth="1"/>
    <col min="45" max="45" style="1651" width="10.57421875" hidden="1"/>
  </cols>
  <sheetData>
    <row customHeight="1" ht="22.5" hidden="1">
      <c r="Y1" s="343"/>
      <c r="Z1" s="343"/>
      <c r="AG1" s="343"/>
      <c r="AH1" s="343"/>
      <c r="AS1" s="1171" t="s">
        <v>14</v>
      </c>
    </row>
    <row customHeight="1" ht="21" hidden="1">
      <c r="A2" s="1379"/>
      <c r="B2" s="1379"/>
      <c r="C2" s="1379"/>
      <c r="D2" s="1379"/>
      <c r="E2" s="2274">
        <v>1</v>
      </c>
      <c r="F2" s="1379"/>
      <c r="G2" s="1379"/>
      <c r="H2" s="1379"/>
      <c r="I2" s="1379"/>
      <c r="J2" s="1379"/>
      <c r="K2" s="1379"/>
      <c r="L2" s="1380"/>
      <c r="M2" s="1381"/>
      <c r="N2" s="1381"/>
      <c r="O2" s="1381"/>
      <c r="P2" s="377"/>
      <c r="Q2" s="376"/>
      <c r="R2" s="371"/>
      <c r="S2" s="1352">
        <f>INDEX(PT_DIFFERENTIATION_NUM_NTAR,MATCH(A2,PT_DIFFERENTIATION_NTAR_ID,0))</f>
      </c>
      <c r="T2" s="314" t="s">
        <v>192</v>
      </c>
      <c r="U2" s="316"/>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74" t="s">
        <v>549</v>
      </c>
      <c r="AO2" s="516"/>
      <c r="AP2" s="516" t="str">
        <f>IF(T2="","",T2)</f>
        <v>Наименование тарифа</v>
      </c>
      <c r="AQ2" s="516"/>
      <c r="AR2" s="516"/>
      <c r="AS2" s="1171">
        <v>0</v>
      </c>
    </row>
    <row customHeight="1" ht="21" hidden="1">
      <c r="A3" s="1379"/>
      <c r="B3" s="1379"/>
      <c r="C3" s="1379"/>
      <c r="D3" s="1379"/>
      <c r="E3" s="2275"/>
      <c r="F3" s="2274">
        <v>1</v>
      </c>
      <c r="G3" s="1379"/>
      <c r="H3" s="1379"/>
      <c r="I3" s="1379"/>
      <c r="J3" s="1379"/>
      <c r="K3" s="1379"/>
      <c r="L3" s="1380"/>
      <c r="M3" s="1381"/>
      <c r="N3" s="1381"/>
      <c r="O3" s="1381"/>
      <c r="P3" s="1348"/>
      <c r="Q3" s="368"/>
      <c r="R3" s="369"/>
      <c r="S3" s="1352">
        <f>INDEX(PT_DIFFERENTIATION_NUM_TER,MATCH(B3,PT_DIFFERENTIATION_TER_ID,0))</f>
      </c>
      <c r="T3" s="324" t="s">
        <v>550</v>
      </c>
      <c r="U3" s="316"/>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74" t="s">
        <v>551</v>
      </c>
      <c r="AO3" s="516"/>
      <c r="AP3" s="516" t="str">
        <f>IF(T3="","",T3)</f>
        <v>Территория действия тарифа</v>
      </c>
      <c r="AQ3" s="516"/>
      <c r="AR3" s="516"/>
      <c r="AS3" s="1171">
        <v>0</v>
      </c>
    </row>
    <row customHeight="1" ht="23.25" hidden="1">
      <c r="A4" s="1379"/>
      <c r="B4" s="1379"/>
      <c r="C4" s="1379"/>
      <c r="D4" s="1379"/>
      <c r="E4" s="2275"/>
      <c r="F4" s="2275"/>
      <c r="G4" s="2274">
        <v>1</v>
      </c>
      <c r="H4" s="1379"/>
      <c r="I4" s="1379"/>
      <c r="J4" s="1379"/>
      <c r="K4" s="1379"/>
      <c r="L4" s="1380"/>
      <c r="M4" s="1381"/>
      <c r="N4" s="1381"/>
      <c r="O4" s="1381"/>
      <c r="P4" s="370"/>
      <c r="Q4" s="368"/>
      <c r="R4" s="369"/>
      <c r="S4" s="1352">
        <f>INDEX(PT_DIFFERENTIATION_NUM_CS,MATCH(C4,PT_DIFFERENTIATION_CS_ID,0))</f>
      </c>
      <c r="T4" s="325" t="s">
        <v>552</v>
      </c>
      <c r="U4" s="316"/>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74" t="s">
        <v>553</v>
      </c>
      <c r="AO4" s="516"/>
      <c r="AP4" s="516" t="str">
        <f>IF(T4="","",T4)</f>
        <v>Наименование системы теплоснабжения </v>
      </c>
      <c r="AQ4" s="516"/>
      <c r="AR4" s="516"/>
      <c r="AS4" s="1171">
        <v>0</v>
      </c>
    </row>
    <row customHeight="1" ht="21" hidden="1">
      <c r="A5" s="1379"/>
      <c r="B5" s="1379"/>
      <c r="C5" s="1379"/>
      <c r="D5" s="1379"/>
      <c r="E5" s="2275"/>
      <c r="F5" s="2275"/>
      <c r="G5" s="2275"/>
      <c r="H5" s="2274">
        <v>1</v>
      </c>
      <c r="I5" s="1379"/>
      <c r="J5" s="1379"/>
      <c r="K5" s="1379"/>
      <c r="L5" s="1380"/>
      <c r="M5" s="1381"/>
      <c r="N5" s="1381"/>
      <c r="O5" s="1381"/>
      <c r="P5" s="370"/>
      <c r="Q5" s="368"/>
      <c r="R5" s="369"/>
      <c r="S5" s="1352">
        <f>INDEX(PT_DIFFERENTIATION_NUM_IST_TE,MATCH(D5,PT_DIFFERENTIATION_IST_TE_ID,0))</f>
      </c>
      <c r="T5" s="326" t="s">
        <v>554</v>
      </c>
      <c r="U5" s="316"/>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74" t="s">
        <v>555</v>
      </c>
      <c r="AO5" s="516"/>
      <c r="AP5" s="516" t="str">
        <f>IF(T5="","",T5)</f>
        <v>Источник тепловой энергии  </v>
      </c>
      <c r="AQ5" s="516"/>
      <c r="AR5" s="516"/>
      <c r="AS5" s="1171">
        <v>0</v>
      </c>
    </row>
    <row customHeight="1" ht="14.25" hidden="1">
      <c r="A6" s="1379"/>
      <c r="B6" s="1379"/>
      <c r="C6" s="1379"/>
      <c r="D6" s="1379"/>
      <c r="E6" s="2275"/>
      <c r="F6" s="2275"/>
      <c r="G6" s="2275"/>
      <c r="H6" s="2275"/>
      <c r="I6" s="2272">
        <f>S5&amp;".1"</f>
      </c>
      <c r="J6" s="1379"/>
      <c r="K6" s="1379"/>
      <c r="L6" s="1380" t="s">
        <v>556</v>
      </c>
      <c r="M6" s="553"/>
      <c r="P6" s="2273">
        <v>1</v>
      </c>
      <c r="Q6" s="1347"/>
      <c r="R6" s="372"/>
      <c r="S6" s="1058"/>
      <c r="T6" s="1399"/>
      <c r="U6" s="1400"/>
      <c r="V6" s="2312"/>
      <c r="W6" s="2313"/>
      <c r="X6" s="2313"/>
      <c r="Y6" s="2313"/>
      <c r="Z6" s="2313"/>
      <c r="AA6" s="2313"/>
      <c r="AB6" s="2313"/>
      <c r="AC6" s="2314"/>
      <c r="AD6" s="2312"/>
      <c r="AE6" s="2313"/>
      <c r="AF6" s="2313"/>
      <c r="AG6" s="2313"/>
      <c r="AH6" s="2313"/>
      <c r="AI6" s="2313"/>
      <c r="AJ6" s="2313"/>
      <c r="AK6" s="2313"/>
      <c r="AL6" s="2314"/>
      <c r="AM6" s="1401"/>
      <c r="AO6" s="516"/>
      <c r="AP6" s="516" t="str">
        <f>IF(T6="","",T6)</f>
        <v/>
      </c>
      <c r="AQ6" s="516"/>
      <c r="AR6" s="516"/>
      <c r="AS6" s="1171">
        <v>0</v>
      </c>
    </row>
    <row customHeight="1" ht="21" hidden="1">
      <c r="A7" s="1379"/>
      <c r="B7" s="1379"/>
      <c r="C7" s="1379"/>
      <c r="D7" s="1379"/>
      <c r="E7" s="2275"/>
      <c r="F7" s="2275"/>
      <c r="G7" s="2275"/>
      <c r="H7" s="2275"/>
      <c r="I7" s="2302"/>
      <c r="J7" s="2272">
        <f>I6&amp;".1"</f>
      </c>
      <c r="K7" s="1379"/>
      <c r="L7" s="1380" t="s">
        <v>559</v>
      </c>
      <c r="M7" s="553"/>
      <c r="N7" s="1382"/>
      <c r="P7" s="2273"/>
      <c r="Q7" s="2273">
        <v>1</v>
      </c>
      <c r="R7" s="373"/>
      <c r="S7" s="1352">
        <f>$J7</f>
      </c>
      <c r="T7" s="302" t="s">
        <v>560</v>
      </c>
      <c r="U7" s="316"/>
      <c r="V7" s="2261"/>
      <c r="W7" s="2262"/>
      <c r="X7" s="2262"/>
      <c r="Y7" s="2262"/>
      <c r="Z7" s="2262"/>
      <c r="AA7" s="2262"/>
      <c r="AB7" s="2262"/>
      <c r="AC7" s="2263"/>
      <c r="AD7" s="2261"/>
      <c r="AE7" s="2262"/>
      <c r="AF7" s="2262"/>
      <c r="AG7" s="2262"/>
      <c r="AH7" s="2262"/>
      <c r="AI7" s="2262"/>
      <c r="AJ7" s="2262"/>
      <c r="AK7" s="2262"/>
      <c r="AL7" s="2263"/>
      <c r="AM7" s="1274" t="s">
        <v>561</v>
      </c>
      <c r="AO7" s="516"/>
      <c r="AP7" s="516" t="str">
        <f>IF(T7="","",T7)</f>
        <v>Группа потребителей</v>
      </c>
      <c r="AQ7" s="516"/>
      <c r="AR7" s="516"/>
      <c r="AS7" s="1171">
        <v>0</v>
      </c>
    </row>
    <row customHeight="1" ht="21" hidden="1">
      <c r="A8" s="1379"/>
      <c r="B8" s="1379"/>
      <c r="C8" s="1379"/>
      <c r="D8" s="1379"/>
      <c r="E8" s="2275"/>
      <c r="F8" s="2275"/>
      <c r="G8" s="2275"/>
      <c r="H8" s="2275"/>
      <c r="I8" s="2302"/>
      <c r="J8" s="2302"/>
      <c r="K8" s="2272">
        <f>J7&amp;".1"</f>
      </c>
      <c r="L8" s="1380" t="s">
        <v>562</v>
      </c>
      <c r="M8" s="553"/>
      <c r="N8" s="1382"/>
      <c r="O8" s="1382"/>
      <c r="P8" s="2273"/>
      <c r="Q8" s="2273"/>
      <c r="R8" s="373">
        <v>1</v>
      </c>
      <c r="S8" s="1352">
        <f>$K8</f>
      </c>
      <c r="T8" s="1363"/>
      <c r="U8" s="316"/>
      <c r="V8" s="767"/>
      <c r="W8" s="341"/>
      <c r="X8" s="767"/>
      <c r="Y8" s="1273"/>
      <c r="Z8" s="2281"/>
      <c r="AA8" s="2123" t="s">
        <v>64</v>
      </c>
      <c r="AB8" s="2281"/>
      <c r="AC8" s="2123" t="s">
        <v>64</v>
      </c>
      <c r="AD8" s="767"/>
      <c r="AE8" s="341"/>
      <c r="AF8" s="767"/>
      <c r="AG8" s="1273"/>
      <c r="AH8" s="2281"/>
      <c r="AI8" s="2123" t="s">
        <v>64</v>
      </c>
      <c r="AJ8" s="2281"/>
      <c r="AK8" s="2123" t="s">
        <v>64</v>
      </c>
      <c r="AL8" s="341"/>
      <c r="AM8" s="2269" t="s">
        <v>563</v>
      </c>
      <c r="AN8" s="527">
        <f>STRCHECKDATE(V9:AL9)</f>
      </c>
      <c r="AO8" s="516"/>
      <c r="AP8" s="516" t="str">
        <f>IF(T8="","",T8)</f>
        <v/>
      </c>
      <c r="AQ8" s="516"/>
      <c r="AR8" s="516"/>
      <c r="AS8" s="1171">
        <v>0</v>
      </c>
    </row>
    <row customHeight="1" ht="14.25" hidden="1">
      <c r="A9" s="1379"/>
      <c r="B9" s="1379"/>
      <c r="C9" s="1379"/>
      <c r="D9" s="1379"/>
      <c r="E9" s="2275"/>
      <c r="F9" s="2275"/>
      <c r="G9" s="2275"/>
      <c r="H9" s="2275"/>
      <c r="I9" s="2302"/>
      <c r="J9" s="2302"/>
      <c r="K9" s="2272"/>
      <c r="L9" s="1380"/>
      <c r="M9" s="553"/>
      <c r="N9" s="1382"/>
      <c r="O9" s="1382"/>
      <c r="P9" s="2273"/>
      <c r="Q9" s="2273"/>
      <c r="R9" s="373"/>
      <c r="S9" s="1358"/>
      <c r="T9" s="316"/>
      <c r="U9" s="316"/>
      <c r="V9" s="341"/>
      <c r="W9" s="341"/>
      <c r="X9" s="341"/>
      <c r="Y9" s="344" t="str">
        <f>Z8&amp;"-"&amp;AB8</f>
        <v>-</v>
      </c>
      <c r="Z9" s="2282"/>
      <c r="AA9" s="2123"/>
      <c r="AB9" s="2282"/>
      <c r="AC9" s="2123"/>
      <c r="AD9" s="341"/>
      <c r="AE9" s="341"/>
      <c r="AF9" s="341"/>
      <c r="AG9" s="344" t="str">
        <f>AH8&amp;"-"&amp;AJ8</f>
        <v>-</v>
      </c>
      <c r="AH9" s="2282"/>
      <c r="AI9" s="2123"/>
      <c r="AJ9" s="2282"/>
      <c r="AK9" s="2123"/>
      <c r="AL9" s="341"/>
      <c r="AM9" s="2270"/>
      <c r="AO9" s="516"/>
      <c r="AP9" s="516" t="str">
        <f>IF(T9="","",T9)</f>
        <v/>
      </c>
      <c r="AQ9" s="516"/>
      <c r="AR9" s="516"/>
      <c r="AS9" s="1171">
        <v>0</v>
      </c>
    </row>
    <row customHeight="1" ht="15" hidden="1">
      <c r="A10" s="1379"/>
      <c r="B10" s="1379"/>
      <c r="C10" s="1379"/>
      <c r="D10" s="1379"/>
      <c r="E10" s="2275"/>
      <c r="F10" s="2275"/>
      <c r="G10" s="2275"/>
      <c r="H10" s="2275"/>
      <c r="I10" s="2302"/>
      <c r="J10" s="2272"/>
      <c r="K10" s="1379"/>
      <c r="L10" s="1380"/>
      <c r="M10" s="553"/>
      <c r="N10" s="1382"/>
      <c r="P10" s="2273"/>
      <c r="Q10" s="2273"/>
      <c r="R10" s="372"/>
      <c r="S10" s="1294"/>
      <c r="T10" s="303" t="s">
        <v>564</v>
      </c>
      <c r="U10" s="383"/>
      <c r="V10" s="383"/>
      <c r="W10" s="383"/>
      <c r="X10" s="383"/>
      <c r="Y10" s="383"/>
      <c r="Z10" s="383"/>
      <c r="AA10" s="383"/>
      <c r="AB10" s="383"/>
      <c r="AC10" s="383"/>
      <c r="AD10" s="383"/>
      <c r="AE10" s="383"/>
      <c r="AF10" s="383"/>
      <c r="AG10" s="383"/>
      <c r="AH10" s="383"/>
      <c r="AI10" s="383"/>
      <c r="AJ10" s="383"/>
      <c r="AK10" s="383"/>
      <c r="AL10" s="340"/>
      <c r="AM10" s="2271"/>
      <c r="AO10" s="516"/>
      <c r="AP10" s="516" t="str">
        <f>IF(T10="","",T10)</f>
        <v>Добавить вид теплоносителя (параметры теплоносителя)</v>
      </c>
      <c r="AQ10" s="516"/>
      <c r="AR10" s="516"/>
      <c r="AS10" s="1171">
        <v>0</v>
      </c>
    </row>
    <row customHeight="1" ht="11.25" hidden="1">
      <c r="A11" s="1379"/>
      <c r="B11" s="1379"/>
      <c r="C11" s="1379"/>
      <c r="D11" s="1379"/>
      <c r="E11" s="2275"/>
      <c r="F11" s="2275"/>
      <c r="G11" s="2275"/>
      <c r="H11" s="2275"/>
      <c r="I11" s="2272"/>
      <c r="J11" s="1379"/>
      <c r="K11" s="1379"/>
      <c r="L11" s="1380"/>
      <c r="M11" s="553"/>
      <c r="P11" s="2273"/>
      <c r="Q11" s="1347"/>
      <c r="R11" s="372"/>
      <c r="S11" s="1294"/>
      <c r="T11" s="381" t="s">
        <v>565</v>
      </c>
      <c r="U11" s="383"/>
      <c r="V11" s="383"/>
      <c r="W11" s="383"/>
      <c r="X11" s="383"/>
      <c r="Y11" s="383"/>
      <c r="Z11" s="383"/>
      <c r="AA11" s="383"/>
      <c r="AB11" s="383"/>
      <c r="AC11" s="382"/>
      <c r="AD11" s="383"/>
      <c r="AE11" s="383"/>
      <c r="AF11" s="383"/>
      <c r="AG11" s="383"/>
      <c r="AH11" s="383"/>
      <c r="AI11" s="383"/>
      <c r="AJ11" s="383"/>
      <c r="AK11" s="382"/>
      <c r="AL11" s="383"/>
      <c r="AM11" s="319"/>
      <c r="AO11" s="516"/>
      <c r="AP11" s="516" t="str">
        <f>IF(T11="","",T11)</f>
        <v>Добавить группу потребителей</v>
      </c>
      <c r="AQ11" s="516"/>
      <c r="AR11" s="516"/>
      <c r="AS11" s="1171">
        <v>0</v>
      </c>
    </row>
    <row customHeight="1" ht="14.25" hidden="1">
      <c r="A12" s="1379"/>
      <c r="B12" s="1379"/>
      <c r="C12" s="1379"/>
      <c r="D12" s="1379"/>
      <c r="E12" s="2275"/>
      <c r="F12" s="2275"/>
      <c r="G12" s="2275"/>
      <c r="H12" s="2274"/>
      <c r="I12" s="1379"/>
      <c r="J12" s="1379"/>
      <c r="K12" s="1379"/>
      <c r="L12" s="1380"/>
      <c r="M12" s="1381"/>
      <c r="N12" s="1381"/>
      <c r="O12" s="553"/>
      <c r="P12" s="376"/>
      <c r="Q12" s="391"/>
      <c r="R12" s="371"/>
      <c r="S12" s="1402"/>
      <c r="T12" s="1403"/>
      <c r="U12" s="1404"/>
      <c r="V12" s="1404"/>
      <c r="W12" s="1404"/>
      <c r="X12" s="1404"/>
      <c r="Y12" s="1404"/>
      <c r="Z12" s="1404"/>
      <c r="AA12" s="1404"/>
      <c r="AB12" s="1404"/>
      <c r="AC12" s="1404"/>
      <c r="AD12" s="1404"/>
      <c r="AE12" s="1404"/>
      <c r="AF12" s="1404"/>
      <c r="AG12" s="1404"/>
      <c r="AH12" s="1404"/>
      <c r="AI12" s="1404"/>
      <c r="AJ12" s="1404"/>
      <c r="AK12" s="1404"/>
      <c r="AL12" s="1404"/>
      <c r="AM12" s="1405"/>
      <c r="AO12" s="516"/>
      <c r="AP12" s="516" t="str">
        <f>IF(T12="","",T12)</f>
        <v/>
      </c>
      <c r="AQ12" s="516"/>
      <c r="AR12" s="516"/>
      <c r="AS12" s="1171">
        <v>0</v>
      </c>
    </row>
    <row s="1658" customFormat="1" customHeight="1" ht="14.25" hidden="1">
      <c r="A13" s="1330"/>
      <c r="B13" s="1330"/>
      <c r="C13" s="1330"/>
      <c r="D13" s="1330"/>
      <c r="E13" s="2275"/>
      <c r="F13" s="2275"/>
      <c r="G13" s="2274"/>
      <c r="H13" s="1330"/>
      <c r="I13" s="1330"/>
      <c r="J13" s="1330"/>
      <c r="K13" s="1330"/>
      <c r="L13" s="1355"/>
      <c r="M13" s="1331"/>
      <c r="N13" s="1331"/>
      <c r="P13" s="1332"/>
      <c r="Q13" s="1333"/>
      <c r="R13" s="1332"/>
      <c r="S13" s="1334"/>
      <c r="T13" s="1335" t="s">
        <v>268</v>
      </c>
      <c r="U13" s="1336"/>
      <c r="V13" s="1336"/>
      <c r="W13" s="1336"/>
      <c r="X13" s="1336"/>
      <c r="Y13" s="1336"/>
      <c r="Z13" s="1336"/>
      <c r="AA13" s="1336"/>
      <c r="AB13" s="1336"/>
      <c r="AC13" s="1336"/>
      <c r="AD13" s="1336"/>
      <c r="AE13" s="1336"/>
      <c r="AF13" s="1336"/>
      <c r="AG13" s="1336"/>
      <c r="AH13" s="1336"/>
      <c r="AI13" s="1336"/>
      <c r="AJ13" s="1336"/>
      <c r="AK13" s="1336"/>
      <c r="AL13" s="1336"/>
      <c r="AM13" s="1336"/>
      <c r="AO13" s="805"/>
      <c r="AP13" s="805" t="str">
        <f>IF(T13="","",T13)</f>
        <v>Добавить источник для дифференциации</v>
      </c>
      <c r="AQ13" s="805"/>
      <c r="AR13" s="805"/>
      <c r="AS13" s="534">
        <v>0</v>
      </c>
    </row>
    <row s="1658" customFormat="1" customHeight="1" ht="14.25" hidden="1">
      <c r="A14" s="1330"/>
      <c r="B14" s="1330"/>
      <c r="C14" s="1330"/>
      <c r="D14" s="1330"/>
      <c r="E14" s="2275"/>
      <c r="F14" s="2274"/>
      <c r="G14" s="1330"/>
      <c r="H14" s="1330"/>
      <c r="I14" s="1330"/>
      <c r="J14" s="1330"/>
      <c r="K14" s="1330"/>
      <c r="L14" s="1355"/>
      <c r="M14" s="1337"/>
      <c r="N14" s="1337"/>
      <c r="P14" s="1332"/>
      <c r="Q14" s="1333"/>
      <c r="R14" s="1332"/>
      <c r="S14" s="1338"/>
      <c r="T14" s="1339" t="s">
        <v>269</v>
      </c>
      <c r="U14" s="1340"/>
      <c r="V14" s="1340"/>
      <c r="W14" s="1340"/>
      <c r="X14" s="1340"/>
      <c r="Y14" s="1340"/>
      <c r="Z14" s="1340"/>
      <c r="AA14" s="1340"/>
      <c r="AB14" s="1340"/>
      <c r="AC14" s="1340"/>
      <c r="AD14" s="1340"/>
      <c r="AE14" s="1340"/>
      <c r="AF14" s="1340"/>
      <c r="AG14" s="1340"/>
      <c r="AH14" s="1340"/>
      <c r="AI14" s="1340"/>
      <c r="AJ14" s="1340"/>
      <c r="AK14" s="1340"/>
      <c r="AL14" s="1340"/>
      <c r="AM14" s="1340"/>
      <c r="AO14" s="805"/>
      <c r="AP14" s="805" t="str">
        <f>IF(T14="","",T14)</f>
        <v>Добавить централизованную систему для дифференциации</v>
      </c>
      <c r="AQ14" s="805"/>
      <c r="AR14" s="805"/>
      <c r="AS14" s="534">
        <v>0</v>
      </c>
    </row>
    <row s="1658" customFormat="1" customHeight="1" ht="14.25" hidden="1">
      <c r="A15" s="1330"/>
      <c r="B15" s="1330"/>
      <c r="C15" s="1330"/>
      <c r="D15" s="1330"/>
      <c r="E15" s="2274"/>
      <c r="F15" s="1330"/>
      <c r="G15" s="1330"/>
      <c r="H15" s="1330"/>
      <c r="I15" s="1330"/>
      <c r="J15" s="1330"/>
      <c r="K15" s="1330"/>
      <c r="L15" s="1355"/>
      <c r="M15" s="1337"/>
      <c r="N15" s="1337"/>
      <c r="P15" s="1332"/>
      <c r="Q15" s="1333"/>
      <c r="R15" s="1332"/>
      <c r="S15" s="1338"/>
      <c r="T15" s="1341" t="s">
        <v>330</v>
      </c>
      <c r="U15" s="1340"/>
      <c r="V15" s="1340"/>
      <c r="W15" s="1340"/>
      <c r="X15" s="1340"/>
      <c r="Y15" s="1340"/>
      <c r="Z15" s="1340"/>
      <c r="AA15" s="1340"/>
      <c r="AB15" s="1340"/>
      <c r="AC15" s="1340"/>
      <c r="AD15" s="1340"/>
      <c r="AE15" s="1340"/>
      <c r="AF15" s="1340"/>
      <c r="AG15" s="1340"/>
      <c r="AH15" s="1340"/>
      <c r="AI15" s="1340"/>
      <c r="AJ15" s="1340"/>
      <c r="AK15" s="1340"/>
      <c r="AL15" s="1340"/>
      <c r="AM15" s="1340"/>
      <c r="AO15" s="805"/>
      <c r="AP15" s="805" t="str">
        <f>IF(T15="","",T15)</f>
        <v>Добавить территорию для дифференциации</v>
      </c>
      <c r="AQ15" s="805"/>
      <c r="AR15" s="805"/>
      <c r="AS15" s="534">
        <v>0</v>
      </c>
    </row>
    <row customHeight="1" ht="14.25" hidden="1">
      <c r="AC16" s="343"/>
      <c r="AK16" s="343"/>
      <c r="AS16" s="1171">
        <v>0</v>
      </c>
    </row>
    <row customHeight="1" ht="14.25" hidden="1">
      <c r="AD17" s="1376"/>
      <c r="AE17" s="1376"/>
      <c r="AF17" s="1376"/>
      <c r="AG17" s="1377"/>
      <c r="AH17" s="2283"/>
      <c r="AI17" s="2284" t="s">
        <v>64</v>
      </c>
      <c r="AJ17" s="2283"/>
      <c r="AK17" s="2284" t="s">
        <v>64</v>
      </c>
      <c r="AS17" s="1171">
        <v>0</v>
      </c>
    </row>
    <row customHeight="1" ht="14.25" hidden="1">
      <c r="AD18" s="1376"/>
      <c r="AE18" s="1376"/>
      <c r="AF18" s="1376"/>
      <c r="AG18" s="344" t="str">
        <f>AH17&amp;"-"&amp;AJ17</f>
        <v>-</v>
      </c>
      <c r="AH18" s="2284"/>
      <c r="AI18" s="2284"/>
      <c r="AJ18" s="2284"/>
      <c r="AK18" s="2284"/>
      <c r="AS18" s="1171">
        <v>0</v>
      </c>
    </row>
    <row customHeight="1" ht="14.25" hidden="1">
      <c r="AK19" s="343"/>
      <c r="AS19" s="1171">
        <v>0</v>
      </c>
    </row>
    <row s="1382" customFormat="1" customHeight="1" ht="22.5" hidden="1">
      <c r="L20" s="1345"/>
      <c r="M20" s="1378"/>
      <c r="N20" s="1378"/>
      <c r="O20" s="1383" t="s">
        <v>567</v>
      </c>
      <c r="P20" s="1378"/>
      <c r="Q20" s="1387"/>
      <c r="R20" s="1387"/>
      <c r="S20" s="745"/>
      <c r="Z20" s="1383"/>
      <c r="AB20" s="1383"/>
      <c r="AC20" s="1382"/>
      <c r="AH20" s="1383"/>
      <c r="AJ20" s="1383"/>
      <c r="AK20" s="1382"/>
      <c r="AN20" s="527"/>
      <c r="AO20" s="527"/>
      <c r="AP20" s="527"/>
      <c r="AQ20" s="527"/>
      <c r="AR20" s="527"/>
      <c r="AS20" s="1176">
        <v>0</v>
      </c>
    </row>
    <row s="1382" customFormat="1" customHeight="1" ht="14.25" hidden="1">
      <c r="L21" s="1345"/>
      <c r="M21" s="1378"/>
      <c r="N21" s="1378"/>
      <c r="O21" s="1378"/>
      <c r="P21" s="1378"/>
      <c r="Q21" s="1387"/>
      <c r="R21" s="1387"/>
      <c r="S21" s="745"/>
      <c r="AC21" s="1382"/>
      <c r="AK21" s="1382"/>
      <c r="AN21" s="527"/>
      <c r="AO21" s="527"/>
      <c r="AP21" s="527"/>
      <c r="AQ21" s="527"/>
      <c r="AR21" s="527"/>
      <c r="AS21" s="1176">
        <v>0</v>
      </c>
    </row>
    <row s="1382" customFormat="1" customHeight="1" ht="14.25" hidden="1">
      <c r="L22" s="1345"/>
      <c r="M22" s="1378"/>
      <c r="N22" s="1378"/>
      <c r="O22" s="1380" t="s">
        <v>568</v>
      </c>
      <c r="P22" s="1378"/>
      <c r="Q22" s="1387"/>
      <c r="R22" s="1387"/>
      <c r="S22" s="745"/>
      <c r="T22" s="1176" t="s">
        <v>569</v>
      </c>
      <c r="AA22" s="202" t="s">
        <v>570</v>
      </c>
      <c r="AC22" s="202" t="s">
        <v>571</v>
      </c>
      <c r="AD22" s="1176" t="s">
        <v>569</v>
      </c>
      <c r="AI22" s="202" t="s">
        <v>572</v>
      </c>
      <c r="AK22" s="202" t="s">
        <v>571</v>
      </c>
      <c r="AN22" s="527"/>
      <c r="AO22" s="527"/>
      <c r="AP22" s="527"/>
      <c r="AQ22" s="527"/>
      <c r="AR22" s="527"/>
      <c r="AS22" s="1176">
        <v>0</v>
      </c>
    </row>
    <row customHeight="1" ht="14.25" hidden="1">
      <c r="O23" s="1380"/>
      <c r="AS23" s="1171">
        <v>0</v>
      </c>
    </row>
    <row customHeight="1" ht="14.25" hidden="1">
      <c r="O24" s="1380"/>
      <c r="AS24" s="1171">
        <v>0</v>
      </c>
    </row>
    <row customHeight="1" ht="14.699999999999998">
      <c r="Q25" s="392"/>
      <c r="R25" s="392"/>
      <c r="S25" s="1291"/>
      <c r="T25" s="379"/>
      <c r="U25" s="379"/>
      <c r="V25" s="525"/>
      <c r="W25" s="525"/>
      <c r="X25" s="525"/>
      <c r="Y25" s="525"/>
      <c r="Z25" s="525"/>
      <c r="AA25" s="525"/>
      <c r="AB25" s="525"/>
      <c r="AC25" s="525"/>
      <c r="AD25" s="525"/>
      <c r="AE25" s="525"/>
      <c r="AF25" s="525"/>
      <c r="AG25" s="525"/>
      <c r="AH25" s="525"/>
      <c r="AI25" s="525"/>
      <c r="AJ25" s="525"/>
      <c r="AK25" s="525"/>
      <c r="AS25" s="1171">
        <v>14</v>
      </c>
    </row>
    <row customHeight="1" ht="53.54999999999999">
      <c r="Q26" s="392"/>
      <c r="R26" s="392"/>
      <c r="S26" s="226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59"/>
      <c r="AS26" s="1171">
        <v>51</v>
      </c>
    </row>
    <row customHeight="1" ht="14.699999999999998">
      <c r="Q27" s="392"/>
      <c r="R27" s="392"/>
      <c r="S27" s="2265" t="str">
        <f>IF(org=0,"Не определено",org)</f>
        <v>КГУП "Примтеплоэнерго"</v>
      </c>
      <c r="T27" s="2265"/>
      <c r="U27" s="2265"/>
      <c r="V27" s="2265"/>
      <c r="W27" s="2265"/>
      <c r="X27" s="2265"/>
      <c r="Y27" s="2265"/>
      <c r="Z27" s="2265"/>
      <c r="AA27" s="2265"/>
      <c r="AB27" s="2265"/>
      <c r="AC27" s="2265"/>
      <c r="AD27" s="2265"/>
      <c r="AE27" s="2265"/>
      <c r="AF27" s="2265"/>
      <c r="AG27" s="2265"/>
      <c r="AH27" s="2265"/>
      <c r="AI27" s="2265"/>
      <c r="AJ27" s="2265"/>
      <c r="AK27" s="1259"/>
      <c r="AS27" s="1171">
        <v>14</v>
      </c>
    </row>
    <row customHeight="1" ht="14.25">
      <c r="Q28" s="392"/>
      <c r="R28" s="392"/>
      <c r="S28" s="1291"/>
      <c r="T28" s="379"/>
      <c r="U28" s="379"/>
      <c r="V28" s="338"/>
      <c r="W28" s="338"/>
      <c r="X28" s="338"/>
      <c r="Y28" s="338"/>
      <c r="Z28" s="338"/>
      <c r="AA28" s="338"/>
      <c r="AB28" s="338"/>
      <c r="AC28" s="338"/>
      <c r="AD28" s="338"/>
      <c r="AE28" s="338"/>
      <c r="AF28" s="338"/>
      <c r="AG28" s="338"/>
      <c r="AH28" s="338"/>
      <c r="AI28" s="338"/>
      <c r="AJ28" s="338"/>
      <c r="AK28" s="338"/>
      <c r="AL28" s="525"/>
      <c r="AS28" s="1171">
        <v>0</v>
      </c>
    </row>
    <row s="1869" customFormat="1" customHeight="1" ht="25.5">
      <c r="A29" s="1384"/>
      <c r="B29" s="1384"/>
      <c r="C29" s="1384"/>
      <c r="D29" s="1384"/>
      <c r="E29" s="1384"/>
      <c r="F29" s="1384"/>
      <c r="G29" s="1384"/>
      <c r="H29" s="1384"/>
      <c r="I29" s="1384"/>
      <c r="J29" s="1384"/>
      <c r="K29" s="1384"/>
      <c r="L29" s="1385"/>
      <c r="M29" s="1384"/>
      <c r="N29" s="1384"/>
      <c r="O29" s="1384"/>
      <c r="S29" s="2266" t="s">
        <v>42</v>
      </c>
      <c r="T29" s="2266"/>
      <c r="U29" s="1388"/>
      <c r="V29" s="2267" t="str">
        <f>IF(TITLE_NAME_OR_PR_CHANGE="",IF(TITLE_NAME_OR_PR="","",TITLE_NAME_OR_PR),TITLE_NAME_OR_PR_CHANGE)</f>
        <v>Агентство по тарифам Приморского края</v>
      </c>
      <c r="W29" s="2267"/>
      <c r="X29" s="2267"/>
      <c r="Y29" s="2267"/>
      <c r="Z29" s="2267"/>
      <c r="AA29" s="2267"/>
      <c r="AB29" s="2267"/>
      <c r="AC29" s="342"/>
      <c r="AD29" s="2267" t="str">
        <f>IF(TITLE_NAME_OR_PR_CHANGE="",IF(TITLE_NAME_OR_PR="","",TITLE_NAME_OR_PR),TITLE_NAME_OR_PR_CHANGE)</f>
        <v>Агентство по тарифам Приморского края</v>
      </c>
      <c r="AE29" s="2267"/>
      <c r="AF29" s="2267"/>
      <c r="AG29" s="2267"/>
      <c r="AH29" s="2267"/>
      <c r="AI29" s="2267"/>
      <c r="AJ29" s="2267"/>
      <c r="AK29" s="342"/>
      <c r="AL29" s="342"/>
      <c r="AM29" s="296"/>
      <c r="AN29" s="384"/>
      <c r="AO29" s="384"/>
      <c r="AP29" s="384"/>
      <c r="AQ29" s="384"/>
      <c r="AR29" s="384"/>
      <c r="AS29" s="434">
        <v>0</v>
      </c>
    </row>
    <row s="1869" customFormat="1" customHeight="1" ht="18.75">
      <c r="A30" s="1384"/>
      <c r="B30" s="1384"/>
      <c r="C30" s="1384"/>
      <c r="D30" s="1384"/>
      <c r="E30" s="1384"/>
      <c r="F30" s="1384"/>
      <c r="G30" s="1384"/>
      <c r="H30" s="1384"/>
      <c r="I30" s="1384"/>
      <c r="J30" s="1384"/>
      <c r="K30" s="1384"/>
      <c r="L30" s="1385"/>
      <c r="M30" s="1384"/>
      <c r="N30" s="1384"/>
      <c r="O30" s="1384"/>
      <c r="S30" s="2266" t="s">
        <v>573</v>
      </c>
      <c r="T30" s="2266"/>
      <c r="U30" s="1388"/>
      <c r="V30" s="2280" t="str">
        <f>IF(TITLE_DATE_PR_CHANGE="",IF(TITLE_DATE_PR="","",TITLE_DATE_PR),TITLE_DATE_PR_CHANGE)</f>
        <v>45910</v>
      </c>
      <c r="W30" s="2280"/>
      <c r="X30" s="2280"/>
      <c r="Y30" s="2280"/>
      <c r="Z30" s="2280"/>
      <c r="AA30" s="2280"/>
      <c r="AB30" s="2280"/>
      <c r="AC30" s="342"/>
      <c r="AD30" s="2280" t="str">
        <f>IF(TITLE_DATE_PR_CHANGE="",IF(TITLE_DATE_PR="","",TITLE_DATE_PR),TITLE_DATE_PR_CHANGE)</f>
        <v>45910</v>
      </c>
      <c r="AE30" s="2280"/>
      <c r="AF30" s="2280"/>
      <c r="AG30" s="2280"/>
      <c r="AH30" s="2280"/>
      <c r="AI30" s="2280"/>
      <c r="AJ30" s="2280"/>
      <c r="AK30" s="342"/>
      <c r="AL30" s="342"/>
      <c r="AM30" s="296"/>
      <c r="AN30" s="384"/>
      <c r="AO30" s="384"/>
      <c r="AP30" s="384"/>
      <c r="AQ30" s="384"/>
      <c r="AR30" s="384"/>
      <c r="AS30" s="434">
        <v>0</v>
      </c>
    </row>
    <row s="1869" customFormat="1" customHeight="1" ht="18.75">
      <c r="A31" s="1384"/>
      <c r="B31" s="1384"/>
      <c r="C31" s="1384"/>
      <c r="D31" s="1384"/>
      <c r="E31" s="1384"/>
      <c r="F31" s="1384"/>
      <c r="G31" s="1384"/>
      <c r="H31" s="1384"/>
      <c r="I31" s="1384"/>
      <c r="J31" s="1384"/>
      <c r="K31" s="1384"/>
      <c r="L31" s="1385"/>
      <c r="M31" s="1384"/>
      <c r="N31" s="1384"/>
      <c r="O31" s="1384"/>
      <c r="S31" s="2266" t="s">
        <v>574</v>
      </c>
      <c r="T31" s="2266"/>
      <c r="U31" s="1388"/>
      <c r="V31" s="2267" t="str">
        <f>IF(TITLE_NUMBER_PR_CHANGE="",IF(TITLE_NUMBER_PR="","",TITLE_NUMBER_PR),TITLE_NUMBER_PR_CHANGE)</f>
        <v>37/2</v>
      </c>
      <c r="W31" s="2267"/>
      <c r="X31" s="2267"/>
      <c r="Y31" s="2267"/>
      <c r="Z31" s="2267"/>
      <c r="AA31" s="2267"/>
      <c r="AB31" s="2267"/>
      <c r="AC31" s="342"/>
      <c r="AD31" s="2267" t="str">
        <f>IF(TITLE_NUMBER_PR_CHANGE="",IF(TITLE_NUMBER_PR="","",TITLE_NUMBER_PR),TITLE_NUMBER_PR_CHANGE)</f>
        <v>37/2</v>
      </c>
      <c r="AE31" s="2267"/>
      <c r="AF31" s="2267"/>
      <c r="AG31" s="2267"/>
      <c r="AH31" s="2267"/>
      <c r="AI31" s="2267"/>
      <c r="AJ31" s="2267"/>
      <c r="AK31" s="342"/>
      <c r="AL31" s="342"/>
      <c r="AM31" s="296"/>
      <c r="AN31" s="384"/>
      <c r="AO31" s="384"/>
      <c r="AP31" s="384"/>
      <c r="AQ31" s="384"/>
      <c r="AR31" s="384"/>
      <c r="AS31" s="434">
        <v>0</v>
      </c>
    </row>
    <row s="1869" customFormat="1" customHeight="1" ht="18.75">
      <c r="A32" s="1384"/>
      <c r="B32" s="1384"/>
      <c r="C32" s="1384"/>
      <c r="D32" s="1384"/>
      <c r="E32" s="1384"/>
      <c r="F32" s="1384"/>
      <c r="G32" s="1384"/>
      <c r="H32" s="1384"/>
      <c r="I32" s="1384"/>
      <c r="J32" s="1384"/>
      <c r="K32" s="1384"/>
      <c r="L32" s="1385"/>
      <c r="M32" s="1384"/>
      <c r="N32" s="1384"/>
      <c r="O32" s="1384"/>
      <c r="S32" s="2266" t="s">
        <v>44</v>
      </c>
      <c r="T32" s="2266"/>
      <c r="U32" s="1388"/>
      <c r="V32" s="2267" t="str">
        <f>IF(TITLE_IST_PUB_CHANGE="",IF(TITLE_IST_PUB="","",TITLE_IST_PUB),TITLE_IST_PUB_CHANGE)</f>
        <v>http://pravo.gov.ru</v>
      </c>
      <c r="W32" s="2267"/>
      <c r="X32" s="2267"/>
      <c r="Y32" s="2267"/>
      <c r="Z32" s="2267"/>
      <c r="AA32" s="2267"/>
      <c r="AB32" s="2267"/>
      <c r="AC32" s="342"/>
      <c r="AD32" s="2267" t="str">
        <f>IF(TITLE_IST_PUB_CHANGE="",IF(TITLE_IST_PUB="","",TITLE_IST_PUB),TITLE_IST_PUB_CHANGE)</f>
        <v>http://pravo.gov.ru</v>
      </c>
      <c r="AE32" s="2267"/>
      <c r="AF32" s="2267"/>
      <c r="AG32" s="2267"/>
      <c r="AH32" s="2267"/>
      <c r="AI32" s="2267"/>
      <c r="AJ32" s="2267"/>
      <c r="AK32" s="342"/>
      <c r="AL32" s="342"/>
      <c r="AM32" s="296"/>
      <c r="AN32" s="384"/>
      <c r="AO32" s="384"/>
      <c r="AP32" s="384"/>
      <c r="AQ32" s="384"/>
      <c r="AR32" s="384"/>
      <c r="AS32" s="434">
        <v>0</v>
      </c>
    </row>
    <row customHeight="1" ht="14.25" hidden="1">
      <c r="Q33" s="392"/>
      <c r="R33" s="392"/>
      <c r="S33" s="1291"/>
      <c r="T33" s="379"/>
      <c r="U33" s="379"/>
      <c r="V33" s="338"/>
      <c r="W33" s="338"/>
      <c r="X33" s="338"/>
      <c r="Y33" s="338"/>
      <c r="Z33" s="338"/>
      <c r="AA33" s="338"/>
      <c r="AB33" s="338"/>
      <c r="AC33" s="338"/>
      <c r="AD33" s="338"/>
      <c r="AE33" s="338"/>
      <c r="AF33" s="338"/>
      <c r="AG33" s="338"/>
      <c r="AH33" s="338"/>
      <c r="AI33" s="338"/>
      <c r="AJ33" s="338"/>
      <c r="AK33" s="338"/>
      <c r="AL33" s="525"/>
      <c r="AS33" s="1171">
        <v>0</v>
      </c>
    </row>
    <row s="1869" customFormat="1" customHeight="1" ht="18.75" hidden="1">
      <c r="A34" s="1384"/>
      <c r="B34" s="1384"/>
      <c r="C34" s="1384"/>
      <c r="D34" s="1384"/>
      <c r="E34" s="1384"/>
      <c r="F34" s="1384"/>
      <c r="G34" s="1384"/>
      <c r="H34" s="1384"/>
      <c r="I34" s="1384"/>
      <c r="J34" s="1384"/>
      <c r="K34" s="1384"/>
      <c r="L34" s="1385"/>
      <c r="M34" s="1384"/>
      <c r="N34" s="1384"/>
      <c r="O34" s="1384"/>
      <c r="S34" s="2266" t="s">
        <v>575</v>
      </c>
      <c r="T34" s="2266"/>
      <c r="U34" s="1388"/>
      <c r="V34" s="2280" t="str">
        <f>IF(TITLE_DATE_PR_CHANGE="",IF(TITLE_DATE_PR="","",TITLE_DATE_PR),TITLE_DATE_PR_CHANGE)</f>
        <v>45910</v>
      </c>
      <c r="W34" s="2280"/>
      <c r="X34" s="2280"/>
      <c r="Y34" s="2280"/>
      <c r="Z34" s="2280"/>
      <c r="AA34" s="2280"/>
      <c r="AB34" s="2280"/>
      <c r="AC34" s="342"/>
      <c r="AD34" s="2280" t="str">
        <f>IF(TITLE_DATE_PR_CHANGE="",IF(TITLE_DATE_PR="","",TITLE_DATE_PR),TITLE_DATE_PR_CHANGE)</f>
        <v>45910</v>
      </c>
      <c r="AE34" s="2280"/>
      <c r="AF34" s="2280"/>
      <c r="AG34" s="2280"/>
      <c r="AH34" s="2280"/>
      <c r="AI34" s="2280"/>
      <c r="AJ34" s="2280"/>
      <c r="AK34" s="342"/>
      <c r="AL34" s="342"/>
      <c r="AM34" s="296"/>
      <c r="AN34" s="384"/>
      <c r="AO34" s="384"/>
      <c r="AP34" s="384"/>
      <c r="AQ34" s="384"/>
      <c r="AR34" s="384"/>
      <c r="AS34" s="434">
        <v>0</v>
      </c>
    </row>
    <row s="1869" customFormat="1" customHeight="1" ht="25.5" hidden="1">
      <c r="A35" s="1384"/>
      <c r="B35" s="1384"/>
      <c r="C35" s="1384"/>
      <c r="D35" s="1384"/>
      <c r="E35" s="1384"/>
      <c r="F35" s="1384"/>
      <c r="G35" s="1384"/>
      <c r="H35" s="1384"/>
      <c r="I35" s="1384"/>
      <c r="J35" s="1384"/>
      <c r="K35" s="1384"/>
      <c r="L35" s="1385"/>
      <c r="M35" s="1384"/>
      <c r="N35" s="1384"/>
      <c r="O35" s="1384"/>
      <c r="S35" s="2266" t="s">
        <v>576</v>
      </c>
      <c r="T35" s="2266"/>
      <c r="U35" s="1388"/>
      <c r="V35" s="2267" t="str">
        <f>IF(TITLE_NUMBER_PR_CHANGE="",IF(TITLE_NUMBER_PR="","",TITLE_NUMBER_PR),TITLE_NUMBER_PR_CHANGE)</f>
        <v>37/2</v>
      </c>
      <c r="W35" s="2267"/>
      <c r="X35" s="2267"/>
      <c r="Y35" s="2267"/>
      <c r="Z35" s="2267"/>
      <c r="AA35" s="2267"/>
      <c r="AB35" s="2267"/>
      <c r="AC35" s="342"/>
      <c r="AD35" s="2267" t="str">
        <f>IF(TITLE_NUMBER_PR_CHANGE="",IF(TITLE_NUMBER_PR="","",TITLE_NUMBER_PR),TITLE_NUMBER_PR_CHANGE)</f>
        <v>37/2</v>
      </c>
      <c r="AE35" s="2267"/>
      <c r="AF35" s="2267"/>
      <c r="AG35" s="2267"/>
      <c r="AH35" s="2267"/>
      <c r="AI35" s="2267"/>
      <c r="AJ35" s="2267"/>
      <c r="AK35" s="342"/>
      <c r="AL35" s="342"/>
      <c r="AM35" s="296"/>
      <c r="AN35" s="384"/>
      <c r="AO35" s="384"/>
      <c r="AP35" s="384"/>
      <c r="AQ35" s="384"/>
      <c r="AR35" s="384"/>
      <c r="AS35" s="434">
        <v>0</v>
      </c>
    </row>
    <row s="1869" customFormat="1" customHeight="1" ht="0">
      <c r="A36" s="1384"/>
      <c r="B36" s="1384"/>
      <c r="C36" s="1384"/>
      <c r="D36" s="1384"/>
      <c r="E36" s="1384"/>
      <c r="F36" s="1384"/>
      <c r="G36" s="1384"/>
      <c r="H36" s="1384"/>
      <c r="I36" s="1384"/>
      <c r="J36" s="1384"/>
      <c r="K36" s="1384"/>
      <c r="L36" s="1385"/>
      <c r="M36" s="1384"/>
      <c r="N36" s="1384"/>
      <c r="O36" s="1384"/>
      <c r="S36" s="339"/>
      <c r="T36" s="339"/>
      <c r="U36" s="1356"/>
      <c r="V36" s="342"/>
      <c r="W36" s="342"/>
      <c r="X36" s="342"/>
      <c r="Y36" s="342"/>
      <c r="Z36" s="342"/>
      <c r="AA36" s="342"/>
      <c r="AB36" s="342"/>
      <c r="AC36" s="294" t="s">
        <v>577</v>
      </c>
      <c r="AD36" s="342"/>
      <c r="AE36" s="342"/>
      <c r="AF36" s="342"/>
      <c r="AG36" s="342"/>
      <c r="AH36" s="342"/>
      <c r="AI36" s="342"/>
      <c r="AJ36" s="342"/>
      <c r="AK36" s="294" t="s">
        <v>577</v>
      </c>
      <c r="AN36" s="384"/>
      <c r="AO36" s="384"/>
      <c r="AP36" s="384"/>
      <c r="AQ36" s="384"/>
      <c r="AR36" s="384"/>
      <c r="AS36" s="434">
        <v>0</v>
      </c>
    </row>
    <row customHeight="1" ht="14.699999999999998">
      <c r="Q37" s="392"/>
      <c r="R37" s="392"/>
      <c r="S37" s="1291"/>
      <c r="T37" s="379"/>
      <c r="U37" s="1260"/>
      <c r="V37" s="2268"/>
      <c r="W37" s="2268"/>
      <c r="X37" s="2268"/>
      <c r="Y37" s="2268"/>
      <c r="Z37" s="2268"/>
      <c r="AA37" s="2268"/>
      <c r="AB37" s="2268"/>
      <c r="AC37" s="2268"/>
      <c r="AD37" s="2268"/>
      <c r="AE37" s="2268"/>
      <c r="AF37" s="2268"/>
      <c r="AG37" s="2268"/>
      <c r="AH37" s="2268"/>
      <c r="AI37" s="2268"/>
      <c r="AJ37" s="2268"/>
      <c r="AK37" s="2268"/>
      <c r="AS37" s="1171">
        <v>14</v>
      </c>
    </row>
    <row customHeight="1" ht="14.699999999999998">
      <c r="Q38" s="392"/>
      <c r="R38" s="392"/>
      <c r="S38" s="2143" t="s">
        <v>453</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454</v>
      </c>
      <c r="AS38" s="1171">
        <v>14</v>
      </c>
    </row>
    <row customHeight="1" ht="14.699999999999998">
      <c r="Q39" s="392"/>
      <c r="R39" s="392"/>
      <c r="S39" s="2289" t="s">
        <v>91</v>
      </c>
      <c r="T39" s="2225" t="s">
        <v>578</v>
      </c>
      <c r="U39" s="317"/>
      <c r="V39" s="2290" t="s">
        <v>579</v>
      </c>
      <c r="W39" s="2291"/>
      <c r="X39" s="2291"/>
      <c r="Y39" s="2291"/>
      <c r="Z39" s="2291"/>
      <c r="AA39" s="2291"/>
      <c r="AB39" s="2292"/>
      <c r="AC39" s="2293" t="s">
        <v>580</v>
      </c>
      <c r="AD39" s="2290" t="s">
        <v>579</v>
      </c>
      <c r="AE39" s="2291"/>
      <c r="AF39" s="2291"/>
      <c r="AG39" s="2291"/>
      <c r="AH39" s="2291"/>
      <c r="AI39" s="2291"/>
      <c r="AJ39" s="2292"/>
      <c r="AK39" s="2293" t="s">
        <v>581</v>
      </c>
      <c r="AL39" s="2296" t="s">
        <v>582</v>
      </c>
      <c r="AM39" s="2143"/>
      <c r="AS39" s="1171">
        <v>14</v>
      </c>
    </row>
    <row customHeight="1" ht="35.699999999999996">
      <c r="Q40" s="392"/>
      <c r="R40" s="392"/>
      <c r="S40" s="2289"/>
      <c r="T40" s="2225"/>
      <c r="U40" s="1047"/>
      <c r="V40" s="2276" t="s">
        <v>583</v>
      </c>
      <c r="W40" s="2299"/>
      <c r="X40" s="2278" t="s">
        <v>585</v>
      </c>
      <c r="Y40" s="2279"/>
      <c r="Z40" s="2278" t="s">
        <v>586</v>
      </c>
      <c r="AA40" s="2285"/>
      <c r="AB40" s="2279"/>
      <c r="AC40" s="2294"/>
      <c r="AD40" s="2276" t="s">
        <v>599</v>
      </c>
      <c r="AE40" s="2299"/>
      <c r="AF40" s="2278" t="s">
        <v>585</v>
      </c>
      <c r="AG40" s="2279"/>
      <c r="AH40" s="2278" t="s">
        <v>586</v>
      </c>
      <c r="AI40" s="2285"/>
      <c r="AJ40" s="2279"/>
      <c r="AK40" s="2294"/>
      <c r="AL40" s="2297"/>
      <c r="AM40" s="2143"/>
      <c r="AS40" s="1171">
        <v>34</v>
      </c>
    </row>
    <row customHeight="1" ht="35.699999999999996">
      <c r="A41" s="1386"/>
      <c r="B41" s="1386" t="s">
        <v>204</v>
      </c>
      <c r="C41" s="1386" t="s">
        <v>205</v>
      </c>
      <c r="D41" s="1386" t="s">
        <v>206</v>
      </c>
      <c r="E41" s="1380" t="s">
        <v>587</v>
      </c>
      <c r="F41" s="1380" t="s">
        <v>588</v>
      </c>
      <c r="G41" s="1380" t="s">
        <v>589</v>
      </c>
      <c r="H41" s="1380" t="s">
        <v>590</v>
      </c>
      <c r="I41" s="1380" t="s">
        <v>591</v>
      </c>
      <c r="J41" s="1380" t="s">
        <v>592</v>
      </c>
      <c r="K41" s="1380" t="s">
        <v>593</v>
      </c>
      <c r="L41" s="1380" t="s">
        <v>568</v>
      </c>
      <c r="Q41" s="392"/>
      <c r="R41" s="392"/>
      <c r="S41" s="2289"/>
      <c r="T41" s="2225"/>
      <c r="U41" s="318"/>
      <c r="V41" s="2277"/>
      <c r="W41" s="2300"/>
      <c r="X41" s="1238" t="s">
        <v>594</v>
      </c>
      <c r="Y41" s="1238" t="s">
        <v>595</v>
      </c>
      <c r="Z41" s="1354" t="s">
        <v>596</v>
      </c>
      <c r="AA41" s="2286" t="s">
        <v>597</v>
      </c>
      <c r="AB41" s="2287"/>
      <c r="AC41" s="2295"/>
      <c r="AD41" s="2277"/>
      <c r="AE41" s="2300"/>
      <c r="AF41" s="1238" t="s">
        <v>594</v>
      </c>
      <c r="AG41" s="1238" t="s">
        <v>595</v>
      </c>
      <c r="AH41" s="1354" t="s">
        <v>596</v>
      </c>
      <c r="AI41" s="2286" t="s">
        <v>597</v>
      </c>
      <c r="AJ41" s="2287"/>
      <c r="AK41" s="2295"/>
      <c r="AL41" s="2298"/>
      <c r="AM41" s="2143"/>
      <c r="AS41" s="1171">
        <v>34</v>
      </c>
    </row>
    <row s="1657" customFormat="1" customHeight="1" ht="11.25" hidden="1">
      <c r="A42" s="1386"/>
      <c r="B42" s="1386"/>
      <c r="C42" s="1386"/>
      <c r="D42" s="1386"/>
      <c r="E42" s="1386"/>
      <c r="F42" s="1386"/>
      <c r="G42" s="1386"/>
      <c r="H42" s="1386"/>
      <c r="I42" s="1386"/>
      <c r="J42" s="1386"/>
      <c r="K42" s="1386"/>
      <c r="L42" s="1380"/>
      <c r="M42" s="1378"/>
      <c r="N42" s="1378"/>
      <c r="O42" s="1378"/>
      <c r="P42" s="1262"/>
      <c r="Q42" s="1263"/>
      <c r="R42" s="1270">
        <v>1</v>
      </c>
      <c r="S42" s="1293" t="s">
        <v>141</v>
      </c>
      <c r="T42" s="1271" t="s">
        <v>107</v>
      </c>
      <c r="U42" s="1261" t="str">
        <f>OFFSET(U42,0,-1)</f>
        <v>2</v>
      </c>
      <c r="V42" s="1351">
        <f>OFFSET(V42,0,-1)+1</f>
        <v>3</v>
      </c>
      <c r="W42" s="1351"/>
      <c r="X42" s="1351">
        <f>OFFSET(X42,0,-1)+1</f>
        <v>1</v>
      </c>
      <c r="Y42" s="1351">
        <f>OFFSET(Y42,0,-1)+1</f>
        <v>2</v>
      </c>
      <c r="Z42" s="1351">
        <f>OFFSET(Z42,0,-1)+1</f>
        <v>3</v>
      </c>
      <c r="AA42" s="2288">
        <f>OFFSET(AA42,0,-1)+1</f>
        <v>4</v>
      </c>
      <c r="AB42" s="2288"/>
      <c r="AC42" s="1351">
        <f>OFFSET(AC42,0,-2)+1</f>
        <v>5</v>
      </c>
      <c r="AD42" s="1351">
        <f>OFFSET(AD42,0,-1)+1</f>
        <v>6</v>
      </c>
      <c r="AE42" s="1351"/>
      <c r="AF42" s="1351">
        <f>OFFSET(AF42,0,-1)+1</f>
        <v>1</v>
      </c>
      <c r="AG42" s="1351">
        <f>OFFSET(AG42,0,-1)+1</f>
        <v>2</v>
      </c>
      <c r="AH42" s="1351">
        <f>OFFSET(AH42,0,-1)+1</f>
        <v>3</v>
      </c>
      <c r="AI42" s="2288">
        <f>OFFSET(AI42,0,-1)+1</f>
        <v>4</v>
      </c>
      <c r="AJ42" s="2288"/>
      <c r="AK42" s="1351">
        <f>OFFSET(AK42,0,-2)+1</f>
        <v>5</v>
      </c>
      <c r="AL42" s="1261">
        <f>OFFSET(AL42,0,-1)</f>
        <v>5</v>
      </c>
      <c r="AM42" s="1351">
        <f>OFFSET(AM42,0,-1)+1</f>
        <v>6</v>
      </c>
      <c r="AN42" s="527"/>
      <c r="AO42" s="527"/>
      <c r="AP42" s="527"/>
      <c r="AQ42" s="527"/>
      <c r="AR42" s="527"/>
      <c r="AS42" s="512">
        <v>0</v>
      </c>
    </row>
    <row customHeight="1" ht="22.049999999999997">
      <c r="A43" s="1379" t="s">
        <v>249</v>
      </c>
      <c r="B43" s="1379"/>
      <c r="C43" s="1379"/>
      <c r="D43" s="1379"/>
      <c r="E43" s="2274">
        <v>1</v>
      </c>
      <c r="F43" s="1379"/>
      <c r="G43" s="1379"/>
      <c r="H43" s="1379"/>
      <c r="I43" s="1379"/>
      <c r="J43" s="1379"/>
      <c r="K43" s="1379"/>
      <c r="L43" s="1380"/>
      <c r="M43" s="1381"/>
      <c r="N43" s="1381"/>
      <c r="O43" s="1381"/>
      <c r="P43" s="377"/>
      <c r="Q43" s="376"/>
      <c r="R43" s="371"/>
      <c r="S43" s="1352">
        <f>INDEX(PT_DIFFERENTIATION_NUM_NTAR,MATCH(A43,PT_DIFFERENTIATION_NTAR_ID,0))</f>
        <v>0</v>
      </c>
      <c r="T43" s="314" t="s">
        <v>192</v>
      </c>
      <c r="U43" s="316"/>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6"/>
      <c r="AP43" s="516" t="str">
        <f>IF(T43="","",T43)</f>
        <v>Наименование тарифа</v>
      </c>
      <c r="AQ43" s="516"/>
      <c r="AR43" s="516"/>
      <c r="AS43" s="1171">
        <v>21</v>
      </c>
    </row>
    <row customHeight="1" ht="22.049999999999997">
      <c r="A44" s="1379" t="s">
        <v>249</v>
      </c>
      <c r="B44" s="1379" t="s">
        <v>250</v>
      </c>
      <c r="C44" s="1379"/>
      <c r="D44" s="1379"/>
      <c r="E44" s="2275"/>
      <c r="F44" s="2274">
        <v>1</v>
      </c>
      <c r="G44" s="1379"/>
      <c r="H44" s="1379"/>
      <c r="I44" s="1379"/>
      <c r="J44" s="1379"/>
      <c r="K44" s="1379"/>
      <c r="L44" s="1380"/>
      <c r="M44" s="1381"/>
      <c r="N44" s="1381"/>
      <c r="O44" s="1381"/>
      <c r="P44" s="1348"/>
      <c r="Q44" s="368"/>
      <c r="R44" s="369"/>
      <c r="S44" s="1352" t="str">
        <f>INDEX(PT_DIFFERENTIATION_NUM_TER,MATCH(B44,PT_DIFFERENTIATION_TER_ID,0))</f>
        <v>.</v>
      </c>
      <c r="T44" s="324" t="s">
        <v>550</v>
      </c>
      <c r="U44" s="316"/>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74" t="s">
        <v>551</v>
      </c>
      <c r="AO44" s="516"/>
      <c r="AP44" s="516" t="str">
        <f>IF(T44="","",T44)</f>
        <v>Территория действия тарифа</v>
      </c>
      <c r="AQ44" s="516"/>
      <c r="AR44" s="516"/>
      <c r="AS44" s="1171">
        <v>21</v>
      </c>
    </row>
    <row customHeight="1" ht="24">
      <c r="A45" s="1379" t="s">
        <v>249</v>
      </c>
      <c r="B45" s="1379" t="s">
        <v>250</v>
      </c>
      <c r="C45" s="1379" t="s">
        <v>251</v>
      </c>
      <c r="D45" s="1379"/>
      <c r="E45" s="2275"/>
      <c r="F45" s="2275"/>
      <c r="G45" s="2274">
        <v>1</v>
      </c>
      <c r="H45" s="1379"/>
      <c r="I45" s="1379"/>
      <c r="J45" s="1379"/>
      <c r="K45" s="1379"/>
      <c r="L45" s="1380"/>
      <c r="M45" s="1381"/>
      <c r="N45" s="1381"/>
      <c r="O45" s="1381"/>
      <c r="P45" s="370"/>
      <c r="Q45" s="368"/>
      <c r="R45" s="369"/>
      <c r="S45" s="1352" t="str">
        <f>INDEX(PT_DIFFERENTIATION_NUM_CS,MATCH(C45,PT_DIFFERENTIATION_CS_ID,0))</f>
        <v>..</v>
      </c>
      <c r="T45" s="325" t="s">
        <v>552</v>
      </c>
      <c r="U45" s="316"/>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74" t="s">
        <v>553</v>
      </c>
      <c r="AO45" s="516"/>
      <c r="AP45" s="516" t="str">
        <f>IF(T45="","",T45)</f>
        <v>Наименование системы теплоснабжения </v>
      </c>
      <c r="AQ45" s="516"/>
      <c r="AR45" s="516"/>
      <c r="AS45" s="1171">
        <v>23</v>
      </c>
    </row>
    <row customHeight="1" ht="22.049999999999997">
      <c r="A46" s="1379" t="s">
        <v>249</v>
      </c>
      <c r="B46" s="1379" t="s">
        <v>250</v>
      </c>
      <c r="C46" s="1379" t="s">
        <v>251</v>
      </c>
      <c r="D46" s="1379" t="s">
        <v>252</v>
      </c>
      <c r="E46" s="2275"/>
      <c r="F46" s="2275"/>
      <c r="G46" s="2275"/>
      <c r="H46" s="2274">
        <v>1</v>
      </c>
      <c r="I46" s="1379"/>
      <c r="J46" s="1379"/>
      <c r="K46" s="1379"/>
      <c r="L46" s="1380"/>
      <c r="M46" s="1381"/>
      <c r="N46" s="1381"/>
      <c r="O46" s="1381"/>
      <c r="P46" s="370"/>
      <c r="Q46" s="368"/>
      <c r="R46" s="369"/>
      <c r="S46" s="1352" t="str">
        <f>INDEX(PT_DIFFERENTIATION_NUM_IST_TE,MATCH(D46,PT_DIFFERENTIATION_IST_TE_ID,0))</f>
        <v>...</v>
      </c>
      <c r="T46" s="326" t="s">
        <v>554</v>
      </c>
      <c r="U46" s="316"/>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74" t="s">
        <v>555</v>
      </c>
      <c r="AO46" s="516"/>
      <c r="AP46" s="516" t="str">
        <f>IF(T46="","",T46)</f>
        <v>Источник тепловой энергии  </v>
      </c>
      <c r="AQ46" s="516"/>
      <c r="AR46" s="516"/>
      <c r="AS46" s="1171">
        <v>21</v>
      </c>
    </row>
    <row s="1658" customFormat="1" customHeight="1" ht="0">
      <c r="A47" s="1359" t="s">
        <v>249</v>
      </c>
      <c r="B47" s="1359" t="s">
        <v>250</v>
      </c>
      <c r="C47" s="1359" t="s">
        <v>251</v>
      </c>
      <c r="D47" s="1359" t="s">
        <v>252</v>
      </c>
      <c r="E47" s="2275"/>
      <c r="F47" s="2275"/>
      <c r="G47" s="2275"/>
      <c r="H47" s="2275"/>
      <c r="I47" s="2272" t="str">
        <f>S46&amp;".1"</f>
        <v>....1</v>
      </c>
      <c r="J47" s="1359"/>
      <c r="K47" s="1359"/>
      <c r="L47" s="1362" t="s">
        <v>556</v>
      </c>
      <c r="M47" s="526"/>
      <c r="N47" s="526"/>
      <c r="O47" s="526"/>
      <c r="P47" s="2273">
        <v>1</v>
      </c>
      <c r="Q47" s="1347"/>
      <c r="R47" s="372"/>
      <c r="S47" s="1058"/>
      <c r="T47" s="1399"/>
      <c r="U47" s="1400"/>
      <c r="V47" s="2312"/>
      <c r="W47" s="2313"/>
      <c r="X47" s="2313"/>
      <c r="Y47" s="2313"/>
      <c r="Z47" s="2313"/>
      <c r="AA47" s="2313"/>
      <c r="AB47" s="2313"/>
      <c r="AC47" s="2314"/>
      <c r="AD47" s="2312"/>
      <c r="AE47" s="2313"/>
      <c r="AF47" s="2313"/>
      <c r="AG47" s="2313"/>
      <c r="AH47" s="2313"/>
      <c r="AI47" s="2313"/>
      <c r="AJ47" s="2313"/>
      <c r="AK47" s="2313"/>
      <c r="AL47" s="2314"/>
      <c r="AM47" s="1401"/>
      <c r="AO47" s="516"/>
      <c r="AP47" s="516" t="str">
        <f>IF(T47="","",T47)</f>
        <v/>
      </c>
      <c r="AQ47" s="516"/>
      <c r="AR47" s="516"/>
      <c r="AS47" s="527">
        <v>0</v>
      </c>
    </row>
    <row customHeight="1" ht="22.049999999999997">
      <c r="A48" s="1379" t="s">
        <v>249</v>
      </c>
      <c r="B48" s="1379" t="s">
        <v>250</v>
      </c>
      <c r="C48" s="1379" t="s">
        <v>251</v>
      </c>
      <c r="D48" s="1379" t="s">
        <v>252</v>
      </c>
      <c r="E48" s="2275"/>
      <c r="F48" s="2275"/>
      <c r="G48" s="2275"/>
      <c r="H48" s="2275"/>
      <c r="I48" s="2302"/>
      <c r="J48" s="2272" t="str">
        <f>S46&amp;".1"</f>
        <v>....1</v>
      </c>
      <c r="K48" s="1379"/>
      <c r="L48" s="1380" t="s">
        <v>559</v>
      </c>
      <c r="P48" s="2273"/>
      <c r="Q48" s="2273">
        <v>1</v>
      </c>
      <c r="R48" s="373"/>
      <c r="S48" s="1352" t="str">
        <f>$J48</f>
        <v>....1</v>
      </c>
      <c r="T48" s="302" t="s">
        <v>560</v>
      </c>
      <c r="U48" s="316"/>
      <c r="V48" s="2261"/>
      <c r="W48" s="2262"/>
      <c r="X48" s="2262"/>
      <c r="Y48" s="2262"/>
      <c r="Z48" s="2262"/>
      <c r="AA48" s="2262"/>
      <c r="AB48" s="2262"/>
      <c r="AC48" s="2263"/>
      <c r="AD48" s="2261"/>
      <c r="AE48" s="2262"/>
      <c r="AF48" s="2262"/>
      <c r="AG48" s="2262"/>
      <c r="AH48" s="2262"/>
      <c r="AI48" s="2262"/>
      <c r="AJ48" s="2262"/>
      <c r="AK48" s="2262"/>
      <c r="AL48" s="2263"/>
      <c r="AM48" s="1274" t="s">
        <v>561</v>
      </c>
      <c r="AO48" s="516"/>
      <c r="AP48" s="516" t="str">
        <f>IF(T48="","",T48)</f>
        <v>Группа потребителей</v>
      </c>
      <c r="AQ48" s="516"/>
      <c r="AR48" s="516"/>
      <c r="AS48" s="1171">
        <v>21</v>
      </c>
    </row>
    <row customHeight="1" ht="22.049999999999997">
      <c r="A49" s="1379" t="s">
        <v>249</v>
      </c>
      <c r="B49" s="1379" t="s">
        <v>250</v>
      </c>
      <c r="C49" s="1379" t="s">
        <v>251</v>
      </c>
      <c r="D49" s="1379" t="s">
        <v>252</v>
      </c>
      <c r="E49" s="2275"/>
      <c r="F49" s="2275"/>
      <c r="G49" s="2275"/>
      <c r="H49" s="2275"/>
      <c r="I49" s="2302"/>
      <c r="J49" s="2302"/>
      <c r="K49" s="2272" t="str">
        <f>J48&amp;".1"</f>
        <v>....1.1</v>
      </c>
      <c r="L49" s="1380" t="s">
        <v>562</v>
      </c>
      <c r="P49" s="2273"/>
      <c r="Q49" s="2273"/>
      <c r="R49" s="373">
        <v>1</v>
      </c>
      <c r="S49" s="1352" t="str">
        <f>$K49</f>
        <v>....1.1</v>
      </c>
      <c r="T49" s="1363"/>
      <c r="U49" s="316"/>
      <c r="V49" s="767"/>
      <c r="W49" s="341"/>
      <c r="X49" s="767"/>
      <c r="Y49" s="1273"/>
      <c r="Z49" s="2281"/>
      <c r="AA49" s="2123" t="s">
        <v>64</v>
      </c>
      <c r="AB49" s="2281"/>
      <c r="AC49" s="2123" t="s">
        <v>64</v>
      </c>
      <c r="AD49" s="767"/>
      <c r="AE49" s="341"/>
      <c r="AF49" s="767"/>
      <c r="AG49" s="1273"/>
      <c r="AH49" s="2281"/>
      <c r="AI49" s="2123" t="s">
        <v>64</v>
      </c>
      <c r="AJ49" s="2303"/>
      <c r="AK49" s="2123" t="s">
        <v>64</v>
      </c>
      <c r="AL49" s="1364"/>
      <c r="AM49" s="2269" t="s">
        <v>600</v>
      </c>
      <c r="AN49" s="527">
        <f>STRCHECKDATE(V50:AL50)</f>
      </c>
      <c r="AO49" s="516"/>
      <c r="AP49" s="516" t="str">
        <f>IF(T49="","",T49)</f>
        <v/>
      </c>
      <c r="AQ49" s="516"/>
      <c r="AR49" s="516"/>
      <c r="AS49" s="1171">
        <v>21</v>
      </c>
    </row>
    <row customHeight="1" ht="0">
      <c r="A50" s="1379" t="s">
        <v>249</v>
      </c>
      <c r="B50" s="1379" t="s">
        <v>250</v>
      </c>
      <c r="C50" s="1379" t="s">
        <v>251</v>
      </c>
      <c r="D50" s="1379" t="s">
        <v>252</v>
      </c>
      <c r="E50" s="2275"/>
      <c r="F50" s="2275"/>
      <c r="G50" s="2275"/>
      <c r="H50" s="2275"/>
      <c r="I50" s="2302"/>
      <c r="J50" s="2302"/>
      <c r="K50" s="2272"/>
      <c r="L50" s="1380"/>
      <c r="P50" s="2273"/>
      <c r="Q50" s="2273"/>
      <c r="R50" s="373"/>
      <c r="S50" s="1358"/>
      <c r="T50" s="316"/>
      <c r="U50" s="316"/>
      <c r="V50" s="341"/>
      <c r="W50" s="341"/>
      <c r="X50" s="341"/>
      <c r="Y50" s="344" t="str">
        <f>Z49&amp;"-"&amp;AB49</f>
        <v>-</v>
      </c>
      <c r="Z50" s="2282"/>
      <c r="AA50" s="2123"/>
      <c r="AB50" s="2282"/>
      <c r="AC50" s="2123"/>
      <c r="AD50" s="341"/>
      <c r="AE50" s="341"/>
      <c r="AF50" s="341"/>
      <c r="AG50" s="344" t="str">
        <f>AH49&amp;"-"&amp;AJ49</f>
        <v>-</v>
      </c>
      <c r="AH50" s="2282"/>
      <c r="AI50" s="2123"/>
      <c r="AJ50" s="2304"/>
      <c r="AK50" s="2123"/>
      <c r="AL50" s="1365"/>
      <c r="AM50" s="2270"/>
      <c r="AO50" s="516"/>
      <c r="AP50" s="516" t="str">
        <f>IF(T50="","",T50)</f>
        <v/>
      </c>
      <c r="AQ50" s="516"/>
      <c r="AR50" s="516"/>
      <c r="AS50" s="1171">
        <v>0</v>
      </c>
    </row>
    <row customHeight="1" ht="11.549999999999999">
      <c r="A51" s="1379" t="s">
        <v>249</v>
      </c>
      <c r="B51" s="1379" t="s">
        <v>250</v>
      </c>
      <c r="C51" s="1379" t="s">
        <v>251</v>
      </c>
      <c r="D51" s="1379" t="s">
        <v>252</v>
      </c>
      <c r="E51" s="2275"/>
      <c r="F51" s="2275"/>
      <c r="G51" s="2275"/>
      <c r="H51" s="2275"/>
      <c r="I51" s="2302"/>
      <c r="J51" s="2272"/>
      <c r="K51" s="1379"/>
      <c r="L51" s="1380"/>
      <c r="P51" s="2273"/>
      <c r="Q51" s="2273"/>
      <c r="R51" s="372"/>
      <c r="S51" s="1294"/>
      <c r="T51" s="303" t="s">
        <v>564</v>
      </c>
      <c r="U51" s="383"/>
      <c r="V51" s="383"/>
      <c r="W51" s="383"/>
      <c r="X51" s="383"/>
      <c r="Y51" s="383"/>
      <c r="Z51" s="383"/>
      <c r="AA51" s="383"/>
      <c r="AB51" s="383"/>
      <c r="AC51" s="383"/>
      <c r="AD51" s="383"/>
      <c r="AE51" s="383"/>
      <c r="AF51" s="383"/>
      <c r="AG51" s="383"/>
      <c r="AH51" s="383"/>
      <c r="AI51" s="383"/>
      <c r="AJ51" s="383"/>
      <c r="AK51" s="383"/>
      <c r="AL51" s="340"/>
      <c r="AM51" s="2271"/>
      <c r="AO51" s="516"/>
      <c r="AP51" s="516" t="str">
        <f>IF(T51="","",T51)</f>
        <v>Добавить вид теплоносителя (параметры теплоносителя)</v>
      </c>
      <c r="AQ51" s="516"/>
      <c r="AR51" s="516"/>
      <c r="AS51" s="1171">
        <v>11</v>
      </c>
    </row>
    <row customHeight="1" ht="11.549999999999999">
      <c r="A52" s="1379" t="s">
        <v>249</v>
      </c>
      <c r="B52" s="1379" t="s">
        <v>250</v>
      </c>
      <c r="C52" s="1379" t="s">
        <v>251</v>
      </c>
      <c r="D52" s="1379" t="s">
        <v>252</v>
      </c>
      <c r="E52" s="2275"/>
      <c r="F52" s="2275"/>
      <c r="G52" s="2275"/>
      <c r="H52" s="2275"/>
      <c r="I52" s="2272"/>
      <c r="J52" s="1379"/>
      <c r="K52" s="1379"/>
      <c r="L52" s="1380"/>
      <c r="P52" s="2273"/>
      <c r="Q52" s="1347"/>
      <c r="R52" s="372"/>
      <c r="S52" s="1294"/>
      <c r="T52" s="381" t="s">
        <v>565</v>
      </c>
      <c r="U52" s="383"/>
      <c r="V52" s="383"/>
      <c r="W52" s="383"/>
      <c r="X52" s="383"/>
      <c r="Y52" s="383"/>
      <c r="Z52" s="383"/>
      <c r="AA52" s="383"/>
      <c r="AB52" s="383"/>
      <c r="AC52" s="382"/>
      <c r="AD52" s="383"/>
      <c r="AE52" s="383"/>
      <c r="AF52" s="383"/>
      <c r="AG52" s="383"/>
      <c r="AH52" s="383"/>
      <c r="AI52" s="383"/>
      <c r="AJ52" s="383"/>
      <c r="AK52" s="382"/>
      <c r="AL52" s="383"/>
      <c r="AM52" s="319"/>
      <c r="AO52" s="516"/>
      <c r="AP52" s="516" t="str">
        <f>IF(T52="","",T52)</f>
        <v>Добавить группу потребителей</v>
      </c>
      <c r="AQ52" s="516"/>
      <c r="AR52" s="516"/>
      <c r="AS52" s="1171">
        <v>11</v>
      </c>
    </row>
    <row customHeight="1" ht="0">
      <c r="A53" s="1379" t="s">
        <v>249</v>
      </c>
      <c r="B53" s="1379" t="s">
        <v>250</v>
      </c>
      <c r="C53" s="1379" t="s">
        <v>251</v>
      </c>
      <c r="D53" s="1379" t="s">
        <v>252</v>
      </c>
      <c r="E53" s="2275"/>
      <c r="F53" s="2275"/>
      <c r="G53" s="2275"/>
      <c r="H53" s="2274"/>
      <c r="I53" s="1379"/>
      <c r="J53" s="1379"/>
      <c r="K53" s="1379"/>
      <c r="L53" s="1380"/>
      <c r="M53" s="1381"/>
      <c r="N53" s="1381"/>
      <c r="O53" s="553"/>
      <c r="P53" s="376"/>
      <c r="Q53" s="391"/>
      <c r="R53" s="371"/>
      <c r="S53" s="1402"/>
      <c r="T53" s="1403"/>
      <c r="U53" s="1404"/>
      <c r="V53" s="1404"/>
      <c r="W53" s="1404"/>
      <c r="X53" s="1404"/>
      <c r="Y53" s="1404"/>
      <c r="Z53" s="1404"/>
      <c r="AA53" s="1404"/>
      <c r="AB53" s="1404"/>
      <c r="AC53" s="1404"/>
      <c r="AD53" s="1404"/>
      <c r="AE53" s="1404"/>
      <c r="AF53" s="1404"/>
      <c r="AG53" s="1404"/>
      <c r="AH53" s="1404"/>
      <c r="AI53" s="1404"/>
      <c r="AJ53" s="1404"/>
      <c r="AK53" s="1404"/>
      <c r="AL53" s="1404"/>
      <c r="AM53" s="1405"/>
      <c r="AO53" s="516"/>
      <c r="AP53" s="516" t="str">
        <f>IF(T53="","",T53)</f>
        <v/>
      </c>
      <c r="AQ53" s="516"/>
      <c r="AR53" s="516"/>
      <c r="AS53" s="1171">
        <v>0</v>
      </c>
    </row>
    <row s="1658" customFormat="1" customHeight="1" ht="0">
      <c r="A54" s="1359" t="s">
        <v>249</v>
      </c>
      <c r="B54" s="1359" t="s">
        <v>250</v>
      </c>
      <c r="C54" s="1359" t="s">
        <v>251</v>
      </c>
      <c r="D54" s="1330"/>
      <c r="E54" s="2275"/>
      <c r="F54" s="2275"/>
      <c r="G54" s="2274"/>
      <c r="H54" s="1330"/>
      <c r="I54" s="1330"/>
      <c r="J54" s="1330"/>
      <c r="K54" s="1330"/>
      <c r="L54" s="1355"/>
      <c r="M54" s="1331"/>
      <c r="N54" s="1331"/>
      <c r="P54" s="1332"/>
      <c r="Q54" s="1333"/>
      <c r="R54" s="1332"/>
      <c r="S54" s="1338"/>
      <c r="T54" s="1341" t="s">
        <v>268</v>
      </c>
      <c r="U54" s="1340"/>
      <c r="V54" s="1340"/>
      <c r="W54" s="1340"/>
      <c r="X54" s="1340"/>
      <c r="Y54" s="1340"/>
      <c r="Z54" s="1340"/>
      <c r="AA54" s="1340"/>
      <c r="AB54" s="1340"/>
      <c r="AC54" s="1340"/>
      <c r="AD54" s="1340"/>
      <c r="AE54" s="1340"/>
      <c r="AF54" s="1340"/>
      <c r="AG54" s="1340"/>
      <c r="AH54" s="1340"/>
      <c r="AI54" s="1340"/>
      <c r="AJ54" s="1340"/>
      <c r="AK54" s="1340"/>
      <c r="AL54" s="1340"/>
      <c r="AM54" s="1340"/>
      <c r="AO54" s="805"/>
      <c r="AP54" s="805" t="str">
        <f>IF(T54="","",T54)</f>
        <v>Добавить источник для дифференциации</v>
      </c>
      <c r="AQ54" s="805"/>
      <c r="AR54" s="805"/>
      <c r="AS54" s="534">
        <v>0</v>
      </c>
    </row>
    <row s="1658" customFormat="1" customHeight="1" ht="0">
      <c r="A55" s="1359" t="s">
        <v>249</v>
      </c>
      <c r="B55" s="1359" t="s">
        <v>250</v>
      </c>
      <c r="C55" s="1330"/>
      <c r="D55" s="1330"/>
      <c r="E55" s="2275"/>
      <c r="F55" s="2274"/>
      <c r="G55" s="1330"/>
      <c r="H55" s="1330"/>
      <c r="I55" s="1330"/>
      <c r="J55" s="1330"/>
      <c r="K55" s="1330"/>
      <c r="L55" s="1355"/>
      <c r="M55" s="1337"/>
      <c r="N55" s="1337"/>
      <c r="P55" s="1332"/>
      <c r="Q55" s="1333"/>
      <c r="R55" s="1332"/>
      <c r="S55" s="1338"/>
      <c r="T55" s="1341" t="s">
        <v>269</v>
      </c>
      <c r="U55" s="1340"/>
      <c r="V55" s="1340"/>
      <c r="W55" s="1340"/>
      <c r="X55" s="1340"/>
      <c r="Y55" s="1340"/>
      <c r="Z55" s="1340"/>
      <c r="AA55" s="1340"/>
      <c r="AB55" s="1340"/>
      <c r="AC55" s="1340"/>
      <c r="AD55" s="1340"/>
      <c r="AE55" s="1340"/>
      <c r="AF55" s="1340"/>
      <c r="AG55" s="1340"/>
      <c r="AH55" s="1340"/>
      <c r="AI55" s="1340"/>
      <c r="AJ55" s="1340"/>
      <c r="AK55" s="1340"/>
      <c r="AL55" s="1340"/>
      <c r="AM55" s="1340"/>
      <c r="AO55" s="805"/>
      <c r="AP55" s="805" t="str">
        <f>IF(T55="","",T55)</f>
        <v>Добавить централизованную систему для дифференциации</v>
      </c>
      <c r="AQ55" s="805"/>
      <c r="AR55" s="805"/>
      <c r="AS55" s="534">
        <v>0</v>
      </c>
    </row>
    <row s="1658" customFormat="1" customHeight="1" ht="0">
      <c r="A56" s="1359" t="s">
        <v>249</v>
      </c>
      <c r="B56" s="1359"/>
      <c r="C56" s="1359"/>
      <c r="D56" s="1359"/>
      <c r="E56" s="2274"/>
      <c r="F56" s="1359"/>
      <c r="G56" s="1359"/>
      <c r="H56" s="1359"/>
      <c r="I56" s="1359"/>
      <c r="J56" s="1359"/>
      <c r="K56" s="1359"/>
      <c r="L56" s="1362"/>
      <c r="M56" s="1337"/>
      <c r="N56" s="1337"/>
      <c r="O56" s="534"/>
      <c r="P56" s="396"/>
      <c r="Q56" s="1360"/>
      <c r="R56" s="396"/>
      <c r="S56" s="1338"/>
      <c r="T56" s="1341" t="s">
        <v>330</v>
      </c>
      <c r="U56" s="1340"/>
      <c r="V56" s="1340"/>
      <c r="W56" s="1340"/>
      <c r="X56" s="1340"/>
      <c r="Y56" s="1340"/>
      <c r="Z56" s="1340"/>
      <c r="AA56" s="1340"/>
      <c r="AB56" s="1340"/>
      <c r="AC56" s="1340"/>
      <c r="AD56" s="1340"/>
      <c r="AE56" s="1340"/>
      <c r="AF56" s="1340"/>
      <c r="AG56" s="1340"/>
      <c r="AH56" s="1340"/>
      <c r="AI56" s="1340"/>
      <c r="AJ56" s="1340"/>
      <c r="AK56" s="1340"/>
      <c r="AL56" s="1340"/>
      <c r="AM56" s="1340"/>
      <c r="AO56" s="516"/>
      <c r="AP56" s="516" t="str">
        <f>IF(T56="","",T56)</f>
        <v>Добавить территорию для дифференциации</v>
      </c>
      <c r="AQ56" s="516"/>
      <c r="AR56" s="516"/>
      <c r="AS56" s="527">
        <v>0</v>
      </c>
    </row>
    <row s="1658" customFormat="1" customHeight="1" ht="4.2">
      <c r="A57" s="1330"/>
      <c r="B57" s="1330"/>
      <c r="C57" s="1330"/>
      <c r="D57" s="1330"/>
      <c r="E57" s="1359"/>
      <c r="F57" s="1330"/>
      <c r="G57" s="1330"/>
      <c r="H57" s="1330"/>
      <c r="I57" s="1330"/>
      <c r="J57" s="1330"/>
      <c r="K57" s="1330"/>
      <c r="L57" s="1355"/>
      <c r="M57" s="1337"/>
      <c r="N57" s="1337"/>
      <c r="P57" s="1332"/>
      <c r="Q57" s="1333"/>
      <c r="R57" s="1332"/>
      <c r="S57" s="1338"/>
      <c r="T57" s="1341" t="s">
        <v>356</v>
      </c>
      <c r="U57" s="1340"/>
      <c r="V57" s="1340"/>
      <c r="W57" s="1340"/>
      <c r="X57" s="1340"/>
      <c r="Y57" s="1340"/>
      <c r="Z57" s="1340"/>
      <c r="AA57" s="1340"/>
      <c r="AB57" s="1340"/>
      <c r="AC57" s="1340"/>
      <c r="AD57" s="1340"/>
      <c r="AE57" s="1340"/>
      <c r="AF57" s="1340"/>
      <c r="AG57" s="1340"/>
      <c r="AH57" s="1340"/>
      <c r="AI57" s="1340"/>
      <c r="AJ57" s="1340"/>
      <c r="AK57" s="1340"/>
      <c r="AL57" s="1340"/>
      <c r="AM57" s="1340"/>
      <c r="AO57" s="805"/>
      <c r="AP57" s="805" t="str">
        <f>IF(T57="","",T57)</f>
        <v>Добавить наименование тарифа</v>
      </c>
      <c r="AQ57" s="805"/>
      <c r="AR57" s="805"/>
      <c r="AS57" s="534">
        <v>4</v>
      </c>
    </row>
    <row customHeight="1" ht="11.549999999999999">
      <c r="M58" s="1176"/>
      <c r="N58" s="1176"/>
      <c r="O58" s="553"/>
      <c r="P58" s="1171"/>
      <c r="Q58" s="1171"/>
      <c r="R58" s="1171"/>
      <c r="S58" s="1171"/>
      <c r="AN58" s="1171"/>
      <c r="AO58" s="1171"/>
      <c r="AP58" s="1171"/>
      <c r="AQ58" s="1171"/>
      <c r="AR58" s="1171"/>
      <c r="AS58" s="1171">
        <v>11</v>
      </c>
    </row>
    <row customHeight="1" ht="14.699999999999998">
      <c r="O59" s="553"/>
      <c r="S59" s="1269"/>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71">
        <v>14</v>
      </c>
    </row>
    <row customHeight="1" ht="14.699999999999998">
      <c r="O60" s="553"/>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71">
        <v>14</v>
      </c>
    </row>
    <row customHeight="1" ht="14.699999999999998">
      <c r="O61" s="553"/>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71">
        <v>14</v>
      </c>
    </row>
    <row customHeight="1" ht="14.699999999999998">
      <c r="O62" s="553"/>
      <c r="AS62" s="1171">
        <v>14</v>
      </c>
    </row>
    <row customHeight="1" ht="14.699999999999998">
      <c r="O63" s="553"/>
      <c r="S63" s="1269"/>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71">
        <v>14</v>
      </c>
    </row>
    <row customHeight="1" ht="14.699999999999998">
      <c r="O64" s="553"/>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71">
        <v>14</v>
      </c>
    </row>
    <row customHeight="1" ht="14.699999999999998">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71">
        <v>14</v>
      </c>
    </row>
    <row customHeight="1" ht="22.5" hidden="1">
      <c r="A66" s="1176" t="s">
        <v>85</v>
      </c>
      <c r="B66" s="1176">
        <v>0</v>
      </c>
      <c r="C66" s="1176">
        <v>0</v>
      </c>
      <c r="D66" s="1176">
        <v>0</v>
      </c>
      <c r="E66" s="1176">
        <v>0</v>
      </c>
      <c r="F66" s="1176">
        <v>0</v>
      </c>
      <c r="G66" s="1176">
        <v>0</v>
      </c>
      <c r="H66" s="1176">
        <v>0</v>
      </c>
      <c r="I66" s="1176">
        <v>0</v>
      </c>
      <c r="J66" s="1176">
        <v>0</v>
      </c>
      <c r="K66" s="1176">
        <v>0</v>
      </c>
      <c r="L66" s="1345">
        <v>0</v>
      </c>
      <c r="M66" s="1378">
        <v>0</v>
      </c>
      <c r="N66" s="1378">
        <v>0</v>
      </c>
      <c r="O66" s="1378">
        <v>0</v>
      </c>
      <c r="P66" s="1344">
        <v>0</v>
      </c>
      <c r="Q66" s="360">
        <v>3</v>
      </c>
      <c r="R66" s="360">
        <v>3</v>
      </c>
      <c r="S66" s="597">
        <v>12</v>
      </c>
      <c r="T66" s="1171">
        <v>31</v>
      </c>
      <c r="U66" s="1171">
        <v>0</v>
      </c>
      <c r="V66" s="1171">
        <v>0</v>
      </c>
      <c r="W66" s="1171">
        <v>0</v>
      </c>
      <c r="X66" s="1171">
        <v>0</v>
      </c>
      <c r="Y66" s="1171">
        <v>0</v>
      </c>
      <c r="Z66" s="1171">
        <v>0</v>
      </c>
      <c r="AA66" s="1171">
        <v>0</v>
      </c>
      <c r="AB66" s="1171">
        <v>0</v>
      </c>
      <c r="AC66" s="1171">
        <v>0</v>
      </c>
      <c r="AD66" s="1171">
        <v>24</v>
      </c>
      <c r="AE66" s="1171">
        <v>0</v>
      </c>
      <c r="AF66" s="1171">
        <v>24</v>
      </c>
      <c r="AG66" s="1171">
        <v>24</v>
      </c>
      <c r="AH66" s="1171">
        <v>11</v>
      </c>
      <c r="AI66" s="1171">
        <v>3</v>
      </c>
      <c r="AJ66" s="1171">
        <v>11</v>
      </c>
      <c r="AK66" s="1171">
        <v>0</v>
      </c>
      <c r="AL66" s="1171">
        <v>4</v>
      </c>
      <c r="AM66" s="1171">
        <v>115</v>
      </c>
      <c r="AN66" s="527">
        <v>10</v>
      </c>
      <c r="AO66" s="527">
        <v>10</v>
      </c>
      <c r="AP66" s="527">
        <v>10</v>
      </c>
      <c r="AQ66" s="527">
        <v>10</v>
      </c>
      <c r="AR66" s="527">
        <v>10</v>
      </c>
      <c r="AS66" s="117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CB579-04FA-BDD3-CAF1-12BDC2F42BD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51" width="10.57421875" hidden="1"/>
    <col min="2" max="2" style="1651" width="11.00390625" hidden="1" customWidth="1"/>
    <col min="3" max="3" style="1651" width="10.57421875" hidden="1"/>
    <col min="4" max="4" style="1651" width="11.8515625" hidden="1" customWidth="1"/>
    <col min="5" max="5" style="1651" width="10.00390625" hidden="1" customWidth="1"/>
    <col min="6" max="6" style="1651" width="8.7109375" hidden="1" customWidth="1"/>
    <col min="7" max="7" style="1651" width="7.57421875" hidden="1" customWidth="1"/>
    <col min="8" max="8" style="1651" width="11.421875" hidden="1" customWidth="1"/>
    <col min="9" max="9" style="1651" width="12.00390625" hidden="1" customWidth="1"/>
    <col min="10" max="10" style="1651" width="9.8515625" hidden="1" customWidth="1"/>
    <col min="11" max="12" style="1651" width="11.421875" hidden="1" customWidth="1"/>
    <col min="13" max="13" style="2141" width="19.140625" hidden="1" customWidth="1"/>
    <col min="14" max="15" style="2413" width="12.28125" hidden="1" customWidth="1"/>
    <col min="16" max="16" style="2413" width="23.421875" hidden="1" customWidth="1"/>
    <col min="17" max="17" style="2413" width="3.7109375" hidden="1" customWidth="1"/>
    <col min="18" max="20" style="360" width="3.00390625" customWidth="1"/>
    <col min="21" max="21" style="2423" width="12.00390625" customWidth="1"/>
    <col min="22" max="22" style="1651" width="31.00390625" customWidth="1"/>
    <col min="23" max="23" style="1651" width="0.140625" customWidth="1"/>
    <col min="24" max="28" style="1651" width="21.7109375" hidden="1" customWidth="1"/>
    <col min="29" max="29" style="1651" width="11.7109375" hidden="1" customWidth="1"/>
    <col min="30" max="30" style="1651" width="3.7109375" hidden="1" customWidth="1"/>
    <col min="31" max="31" style="1651" width="11.7109375" hidden="1" customWidth="1"/>
    <col min="32" max="32" style="1651" width="8.57421875" hidden="1" customWidth="1"/>
    <col min="33" max="33" style="1651" width="21.7109375" customWidth="1"/>
    <col min="34" max="37" style="1651" width="21.00390625" customWidth="1"/>
    <col min="38" max="38" style="1651" width="11.00390625" customWidth="1"/>
    <col min="39" max="39" style="1651" width="3.7109375" customWidth="1"/>
    <col min="40" max="40" style="1651" width="11.00390625" customWidth="1"/>
    <col min="41" max="41" style="1651" width="8.57421875" hidden="1" customWidth="1"/>
    <col min="42" max="42" style="1651" width="4.00390625" customWidth="1"/>
    <col min="43" max="43" style="1651" width="115.00390625" customWidth="1"/>
    <col min="44" max="48" style="1658" width="10.00390625" customWidth="1"/>
    <col min="49" max="49" style="1651" width="10.57421875" hidden="1"/>
  </cols>
  <sheetData>
    <row customHeight="1" ht="22.5" hidden="1">
      <c r="AB1" s="343"/>
      <c r="AC1" s="343"/>
      <c r="AK1" s="343"/>
      <c r="AL1" s="343"/>
      <c r="AW1" s="1171" t="s">
        <v>14</v>
      </c>
    </row>
    <row customHeight="1" ht="21" hidden="1">
      <c r="A2" s="1283"/>
      <c r="B2" s="1283"/>
      <c r="C2" s="1283"/>
      <c r="D2" s="1283"/>
      <c r="E2" s="2305">
        <v>1</v>
      </c>
      <c r="F2" s="1283"/>
      <c r="G2" s="1283"/>
      <c r="H2" s="1283"/>
      <c r="I2" s="1283"/>
      <c r="J2" s="1283"/>
      <c r="K2" s="1283"/>
      <c r="L2" s="1283"/>
      <c r="M2" s="1326"/>
      <c r="N2" s="704"/>
      <c r="O2" s="704"/>
      <c r="P2" s="704"/>
      <c r="Q2" s="377"/>
      <c r="R2" s="376"/>
      <c r="S2" s="376"/>
      <c r="T2" s="371"/>
      <c r="U2" s="1352">
        <f>INDEX(PT_DIFFERENTIATION_NUM_NTAR,MATCH(A2,PT_DIFFERENTIATION_NTAR_ID,0))</f>
      </c>
      <c r="V2" s="314" t="s">
        <v>192</v>
      </c>
      <c r="W2" s="316"/>
      <c r="X2" s="2258"/>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60"/>
      <c r="AQ2" s="1274" t="s">
        <v>549</v>
      </c>
      <c r="AS2" s="516"/>
      <c r="AT2" s="516" t="str">
        <f>IF(V2="","",V2)</f>
        <v>Наименование тарифа</v>
      </c>
      <c r="AU2" s="516"/>
      <c r="AV2" s="516"/>
      <c r="AW2" s="1171">
        <v>0</v>
      </c>
    </row>
    <row customHeight="1" ht="21" hidden="1">
      <c r="A3" s="1283"/>
      <c r="B3" s="1283"/>
      <c r="C3" s="1283"/>
      <c r="D3" s="1283"/>
      <c r="E3" s="2306"/>
      <c r="F3" s="2305">
        <v>1</v>
      </c>
      <c r="G3" s="1283"/>
      <c r="H3" s="1283"/>
      <c r="I3" s="1283"/>
      <c r="J3" s="1283"/>
      <c r="K3" s="1283"/>
      <c r="L3" s="1283"/>
      <c r="M3" s="1326"/>
      <c r="N3" s="704"/>
      <c r="O3" s="704"/>
      <c r="P3" s="704"/>
      <c r="Q3" s="1348"/>
      <c r="R3" s="368"/>
      <c r="S3" s="525"/>
      <c r="T3" s="369"/>
      <c r="U3" s="1352">
        <f>INDEX(PT_DIFFERENTIATION_NUM_TER,MATCH(B3,PT_DIFFERENTIATION_TER_ID,0))</f>
      </c>
      <c r="V3" s="324" t="s">
        <v>550</v>
      </c>
      <c r="W3" s="316"/>
      <c r="X3" s="2258"/>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60"/>
      <c r="AQ3" s="1274" t="s">
        <v>551</v>
      </c>
      <c r="AS3" s="516"/>
      <c r="AT3" s="516" t="str">
        <f>IF(V3="","",V3)</f>
        <v>Территория действия тарифа</v>
      </c>
      <c r="AU3" s="516"/>
      <c r="AV3" s="516"/>
      <c r="AW3" s="1171">
        <v>0</v>
      </c>
    </row>
    <row customHeight="1" ht="22.5" hidden="1">
      <c r="A4" s="1283"/>
      <c r="B4" s="1283"/>
      <c r="C4" s="1283"/>
      <c r="D4" s="1283"/>
      <c r="E4" s="2306"/>
      <c r="F4" s="2306"/>
      <c r="G4" s="2305">
        <v>1</v>
      </c>
      <c r="H4" s="1283"/>
      <c r="I4" s="1283"/>
      <c r="J4" s="1283"/>
      <c r="K4" s="1283"/>
      <c r="L4" s="1283"/>
      <c r="M4" s="1326"/>
      <c r="N4" s="704"/>
      <c r="O4" s="704"/>
      <c r="P4" s="704"/>
      <c r="Q4" s="370"/>
      <c r="R4" s="368"/>
      <c r="S4" s="525"/>
      <c r="T4" s="369"/>
      <c r="U4" s="1352">
        <f>INDEX(PT_DIFFERENTIATION_NUM_CS,MATCH(C4,PT_DIFFERENTIATION_CS_ID,0))</f>
      </c>
      <c r="V4" s="325" t="s">
        <v>552</v>
      </c>
      <c r="W4" s="316"/>
      <c r="X4" s="2258"/>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60"/>
      <c r="AQ4" s="1274" t="s">
        <v>553</v>
      </c>
      <c r="AS4" s="516"/>
      <c r="AT4" s="516" t="str">
        <f>IF(V4="","",V4)</f>
        <v>Наименование системы теплоснабжения </v>
      </c>
      <c r="AU4" s="516"/>
      <c r="AV4" s="516"/>
      <c r="AW4" s="1171">
        <v>0</v>
      </c>
    </row>
    <row customHeight="1" ht="21" hidden="1">
      <c r="A5" s="1283"/>
      <c r="B5" s="1283"/>
      <c r="C5" s="1283"/>
      <c r="D5" s="1283"/>
      <c r="E5" s="2306"/>
      <c r="F5" s="2306"/>
      <c r="G5" s="2306"/>
      <c r="H5" s="2305">
        <v>1</v>
      </c>
      <c r="I5" s="1283"/>
      <c r="J5" s="1283"/>
      <c r="K5" s="1283"/>
      <c r="L5" s="1283"/>
      <c r="M5" s="1326"/>
      <c r="N5" s="704"/>
      <c r="O5" s="704"/>
      <c r="P5" s="704"/>
      <c r="Q5" s="370"/>
      <c r="R5" s="368"/>
      <c r="S5" s="525"/>
      <c r="T5" s="369"/>
      <c r="U5" s="1352">
        <f>INDEX(PT_DIFFERENTIATION_NUM_IST_TE,MATCH(D5,PT_DIFFERENTIATION_IST_TE_ID,0))</f>
      </c>
      <c r="V5" s="326" t="s">
        <v>554</v>
      </c>
      <c r="W5" s="316"/>
      <c r="X5" s="2258"/>
      <c r="Y5" s="2259"/>
      <c r="Z5" s="2259"/>
      <c r="AA5" s="2259"/>
      <c r="AB5" s="2259"/>
      <c r="AC5" s="2259"/>
      <c r="AD5" s="2259"/>
      <c r="AE5" s="2259"/>
      <c r="AF5" s="2260"/>
      <c r="AG5" s="2258">
        <f>INDEX(PT_DIFFERENTIATION_IST_TE,MATCH(D5,PT_DIFFERENTIATION_IST_TE_ID,0))</f>
      </c>
      <c r="AH5" s="2259"/>
      <c r="AI5" s="2259"/>
      <c r="AJ5" s="2259"/>
      <c r="AK5" s="2259"/>
      <c r="AL5" s="2259"/>
      <c r="AM5" s="2259"/>
      <c r="AN5" s="2259"/>
      <c r="AO5" s="2259"/>
      <c r="AP5" s="2260"/>
      <c r="AQ5" s="1274" t="s">
        <v>555</v>
      </c>
      <c r="AS5" s="516"/>
      <c r="AT5" s="516" t="str">
        <f>IF(V5="","",V5)</f>
        <v>Источник тепловой энергии  </v>
      </c>
      <c r="AU5" s="516"/>
      <c r="AV5" s="516"/>
      <c r="AW5" s="1171">
        <v>0</v>
      </c>
    </row>
    <row customHeight="1" ht="14.25" hidden="1">
      <c r="A6" s="1283"/>
      <c r="B6" s="1283"/>
      <c r="C6" s="1283"/>
      <c r="D6" s="1283"/>
      <c r="E6" s="2306"/>
      <c r="F6" s="2306"/>
      <c r="G6" s="2306"/>
      <c r="H6" s="2306"/>
      <c r="I6" s="2143">
        <f>U5&amp;".1"</f>
      </c>
      <c r="J6" s="1283"/>
      <c r="K6" s="1283"/>
      <c r="L6" s="1283"/>
      <c r="M6" s="1326" t="s">
        <v>556</v>
      </c>
      <c r="N6" s="525"/>
      <c r="Q6" s="2273">
        <v>1</v>
      </c>
      <c r="R6" s="1347"/>
      <c r="S6" s="1347"/>
      <c r="T6" s="372"/>
      <c r="U6" s="1058"/>
      <c r="V6" s="1399"/>
      <c r="W6" s="1400"/>
      <c r="X6" s="2312"/>
      <c r="Y6" s="2313"/>
      <c r="Z6" s="2313"/>
      <c r="AA6" s="2313"/>
      <c r="AB6" s="2313"/>
      <c r="AC6" s="2313"/>
      <c r="AD6" s="2313"/>
      <c r="AE6" s="2313"/>
      <c r="AF6" s="2314"/>
      <c r="AG6" s="2312"/>
      <c r="AH6" s="2313"/>
      <c r="AI6" s="2313"/>
      <c r="AJ6" s="2313"/>
      <c r="AK6" s="2313"/>
      <c r="AL6" s="2313"/>
      <c r="AM6" s="2313"/>
      <c r="AN6" s="2313"/>
      <c r="AO6" s="2313"/>
      <c r="AP6" s="2314"/>
      <c r="AQ6" s="1401"/>
      <c r="AS6" s="516"/>
      <c r="AT6" s="516" t="str">
        <f>IF(V6="","",V6)</f>
        <v/>
      </c>
      <c r="AU6" s="516"/>
      <c r="AV6" s="516"/>
      <c r="AW6" s="1171">
        <v>0</v>
      </c>
    </row>
    <row customHeight="1" ht="21" hidden="1">
      <c r="A7" s="1283"/>
      <c r="B7" s="1283"/>
      <c r="C7" s="1283"/>
      <c r="D7" s="1283"/>
      <c r="E7" s="2306"/>
      <c r="F7" s="2306"/>
      <c r="G7" s="2306"/>
      <c r="H7" s="2306"/>
      <c r="I7" s="2117"/>
      <c r="J7" s="2143">
        <f>I6&amp;".1"</f>
      </c>
      <c r="K7" s="1283"/>
      <c r="L7" s="1283"/>
      <c r="M7" s="1326" t="s">
        <v>559</v>
      </c>
      <c r="N7" s="525"/>
      <c r="O7" s="343"/>
      <c r="Q7" s="2273"/>
      <c r="R7" s="2273">
        <v>1</v>
      </c>
      <c r="S7" s="534"/>
      <c r="T7" s="373"/>
      <c r="U7" s="1352">
        <f>$J7</f>
      </c>
      <c r="V7" s="302" t="s">
        <v>560</v>
      </c>
      <c r="W7" s="316"/>
      <c r="X7" s="2261"/>
      <c r="Y7" s="2262"/>
      <c r="Z7" s="2262"/>
      <c r="AA7" s="2262"/>
      <c r="AB7" s="2262"/>
      <c r="AC7" s="2251"/>
      <c r="AD7" s="2251"/>
      <c r="AE7" s="2251"/>
      <c r="AF7" s="2324"/>
      <c r="AG7" s="2261"/>
      <c r="AH7" s="2262"/>
      <c r="AI7" s="2262"/>
      <c r="AJ7" s="2262"/>
      <c r="AK7" s="2262"/>
      <c r="AL7" s="2262"/>
      <c r="AM7" s="2262"/>
      <c r="AN7" s="2262"/>
      <c r="AO7" s="2262"/>
      <c r="AP7" s="2263"/>
      <c r="AQ7" s="1274" t="s">
        <v>561</v>
      </c>
      <c r="AS7" s="516"/>
      <c r="AT7" s="516" t="str">
        <f>IF(V7="","",V7)</f>
        <v>Группа потребителей</v>
      </c>
      <c r="AU7" s="516"/>
      <c r="AV7" s="516"/>
      <c r="AW7" s="1171">
        <v>0</v>
      </c>
    </row>
    <row customHeight="1" ht="21" hidden="1">
      <c r="A8" s="1283"/>
      <c r="B8" s="1283"/>
      <c r="C8" s="1283"/>
      <c r="D8" s="1283"/>
      <c r="E8" s="2306"/>
      <c r="F8" s="2306"/>
      <c r="G8" s="2306"/>
      <c r="H8" s="2306"/>
      <c r="I8" s="2117"/>
      <c r="J8" s="2117"/>
      <c r="K8" s="2143">
        <f>J7&amp;".1"</f>
      </c>
      <c r="L8" s="155"/>
      <c r="M8" s="1326" t="s">
        <v>562</v>
      </c>
      <c r="N8" s="525"/>
      <c r="O8" s="343"/>
      <c r="P8" s="343"/>
      <c r="Q8" s="2273"/>
      <c r="R8" s="2273"/>
      <c r="S8" s="2273">
        <v>1</v>
      </c>
      <c r="T8" s="373"/>
      <c r="U8" s="1352">
        <f>$K8</f>
      </c>
      <c r="V8" s="1363"/>
      <c r="W8" s="316"/>
      <c r="X8" s="767"/>
      <c r="Y8" s="767"/>
      <c r="Z8" s="767"/>
      <c r="AA8" s="767"/>
      <c r="AB8" s="1421"/>
      <c r="AC8" s="2281"/>
      <c r="AD8" s="2123" t="s">
        <v>64</v>
      </c>
      <c r="AE8" s="2281"/>
      <c r="AF8" s="2123" t="s">
        <v>64</v>
      </c>
      <c r="AG8" s="1423"/>
      <c r="AH8" s="767"/>
      <c r="AI8" s="767"/>
      <c r="AJ8" s="767"/>
      <c r="AK8" s="1273"/>
      <c r="AL8" s="2281"/>
      <c r="AM8" s="2123" t="s">
        <v>64</v>
      </c>
      <c r="AN8" s="2281"/>
      <c r="AO8" s="2123" t="s">
        <v>64</v>
      </c>
      <c r="AP8" s="341"/>
      <c r="AQ8" s="1323" t="s">
        <v>601</v>
      </c>
      <c r="AR8" s="527">
        <f>STRCHECKDATE(X10:AP10)</f>
      </c>
      <c r="AS8" s="516"/>
      <c r="AT8" s="516" t="str">
        <f>IF(V8="","",V8)</f>
        <v/>
      </c>
      <c r="AU8" s="516"/>
      <c r="AV8" s="516"/>
      <c r="AW8" s="1171">
        <v>0</v>
      </c>
    </row>
    <row customHeight="1" ht="21" hidden="1">
      <c r="A9" s="1283"/>
      <c r="B9" s="1283"/>
      <c r="C9" s="1283"/>
      <c r="D9" s="1283"/>
      <c r="E9" s="2306"/>
      <c r="F9" s="2306"/>
      <c r="G9" s="2306"/>
      <c r="H9" s="2306"/>
      <c r="I9" s="2117"/>
      <c r="J9" s="2117"/>
      <c r="K9" s="2117"/>
      <c r="L9" s="2143">
        <f>K8&amp;".1"</f>
      </c>
      <c r="M9" s="1326"/>
      <c r="N9" s="525"/>
      <c r="O9" s="343"/>
      <c r="P9" s="343"/>
      <c r="Q9" s="2273"/>
      <c r="R9" s="2273"/>
      <c r="S9" s="2273"/>
      <c r="T9" s="373"/>
      <c r="U9" s="1352">
        <f>$L9</f>
      </c>
      <c r="V9" s="1407"/>
      <c r="W9" s="316"/>
      <c r="X9" s="341"/>
      <c r="Y9" s="767"/>
      <c r="Z9" s="767"/>
      <c r="AA9" s="767"/>
      <c r="AB9" s="1421"/>
      <c r="AC9" s="2325"/>
      <c r="AD9" s="2123"/>
      <c r="AE9" s="2325"/>
      <c r="AF9" s="2123"/>
      <c r="AG9" s="1423"/>
      <c r="AH9" s="767"/>
      <c r="AI9" s="767"/>
      <c r="AJ9" s="767"/>
      <c r="AK9" s="1273"/>
      <c r="AL9" s="2325"/>
      <c r="AM9" s="2123"/>
      <c r="AN9" s="2325"/>
      <c r="AO9" s="2123"/>
      <c r="AP9" s="341"/>
      <c r="AQ9" s="2269" t="s">
        <v>602</v>
      </c>
      <c r="AS9" s="516"/>
      <c r="AT9" s="516"/>
      <c r="AU9" s="516"/>
      <c r="AV9" s="516"/>
      <c r="AW9" s="1171">
        <v>0</v>
      </c>
    </row>
    <row customHeight="1" ht="14.25" hidden="1">
      <c r="A10" s="1283"/>
      <c r="B10" s="1283"/>
      <c r="C10" s="1283"/>
      <c r="D10" s="1283"/>
      <c r="E10" s="2306"/>
      <c r="F10" s="2306"/>
      <c r="G10" s="2306"/>
      <c r="H10" s="2306"/>
      <c r="I10" s="2117"/>
      <c r="J10" s="2117"/>
      <c r="K10" s="2117"/>
      <c r="L10" s="2143"/>
      <c r="M10" s="1326"/>
      <c r="N10" s="525"/>
      <c r="O10" s="343"/>
      <c r="P10" s="343"/>
      <c r="Q10" s="2273"/>
      <c r="R10" s="2273"/>
      <c r="S10" s="2273"/>
      <c r="T10" s="373"/>
      <c r="U10" s="1358"/>
      <c r="V10" s="316"/>
      <c r="W10" s="316"/>
      <c r="X10" s="341"/>
      <c r="Y10" s="341"/>
      <c r="Z10" s="341"/>
      <c r="AA10" s="341"/>
      <c r="AB10" s="1422" t="str">
        <f>AC8&amp;"-"&amp;AE8</f>
        <v>-</v>
      </c>
      <c r="AC10" s="2325"/>
      <c r="AD10" s="2123"/>
      <c r="AE10" s="2325"/>
      <c r="AF10" s="2123"/>
      <c r="AG10" s="1398"/>
      <c r="AH10" s="341"/>
      <c r="AI10" s="341"/>
      <c r="AJ10" s="341"/>
      <c r="AK10" s="344" t="str">
        <f>AL8&amp;"-"&amp;AN8</f>
        <v>-</v>
      </c>
      <c r="AL10" s="2325"/>
      <c r="AM10" s="2123"/>
      <c r="AN10" s="2325"/>
      <c r="AO10" s="2123"/>
      <c r="AP10" s="341"/>
      <c r="AQ10" s="2270"/>
      <c r="AS10" s="516"/>
      <c r="AT10" s="516" t="str">
        <f>IF(V10="","",V10)</f>
        <v/>
      </c>
      <c r="AU10" s="516"/>
      <c r="AV10" s="516"/>
      <c r="AW10" s="1171">
        <v>0</v>
      </c>
    </row>
    <row customHeight="1" ht="11.25" hidden="1">
      <c r="A11" s="1283"/>
      <c r="B11" s="1283"/>
      <c r="C11" s="1283"/>
      <c r="D11" s="1283"/>
      <c r="E11" s="2306"/>
      <c r="F11" s="2306"/>
      <c r="G11" s="2306"/>
      <c r="H11" s="2306"/>
      <c r="I11" s="2117"/>
      <c r="J11" s="2117"/>
      <c r="K11" s="2143"/>
      <c r="L11" s="1283"/>
      <c r="M11" s="1326"/>
      <c r="N11" s="525"/>
      <c r="O11" s="343"/>
      <c r="P11" s="343"/>
      <c r="Q11" s="2273"/>
      <c r="R11" s="2273"/>
      <c r="S11" s="2273"/>
      <c r="T11" s="373"/>
      <c r="U11" s="1294"/>
      <c r="V11" s="304" t="s">
        <v>603</v>
      </c>
      <c r="W11" s="1408"/>
      <c r="X11" s="1409"/>
      <c r="Y11" s="1409"/>
      <c r="Z11" s="1409"/>
      <c r="AA11" s="1409"/>
      <c r="AB11" s="1410"/>
      <c r="AC11" s="2325"/>
      <c r="AD11" s="2123"/>
      <c r="AE11" s="2325"/>
      <c r="AF11" s="2123"/>
      <c r="AG11" s="1409"/>
      <c r="AH11" s="1409"/>
      <c r="AI11" s="1409"/>
      <c r="AJ11" s="1409"/>
      <c r="AK11" s="1410"/>
      <c r="AL11" s="2325"/>
      <c r="AM11" s="2123"/>
      <c r="AN11" s="2325"/>
      <c r="AO11" s="2123"/>
      <c r="AP11" s="1411"/>
      <c r="AQ11" s="2270"/>
      <c r="AS11" s="516"/>
      <c r="AT11" s="516"/>
      <c r="AU11" s="516"/>
      <c r="AV11" s="516"/>
      <c r="AW11" s="1171">
        <v>0</v>
      </c>
    </row>
    <row customHeight="1" ht="15" hidden="1">
      <c r="A12" s="1283"/>
      <c r="B12" s="1283"/>
      <c r="C12" s="1283"/>
      <c r="D12" s="1283"/>
      <c r="E12" s="2306"/>
      <c r="F12" s="2306"/>
      <c r="G12" s="2306"/>
      <c r="H12" s="2306"/>
      <c r="I12" s="2117"/>
      <c r="J12" s="2143"/>
      <c r="K12" s="1283"/>
      <c r="L12" s="1283"/>
      <c r="M12" s="1326"/>
      <c r="N12" s="525"/>
      <c r="O12" s="343"/>
      <c r="Q12" s="2273"/>
      <c r="R12" s="2273"/>
      <c r="S12" s="1347"/>
      <c r="T12" s="372"/>
      <c r="U12" s="1294"/>
      <c r="V12" s="303" t="s">
        <v>564</v>
      </c>
      <c r="W12" s="383"/>
      <c r="X12" s="383"/>
      <c r="Y12" s="383"/>
      <c r="Z12" s="383"/>
      <c r="AA12" s="383"/>
      <c r="AB12" s="383"/>
      <c r="AC12" s="1424"/>
      <c r="AD12" s="1424"/>
      <c r="AE12" s="1424"/>
      <c r="AF12" s="1424"/>
      <c r="AG12" s="383"/>
      <c r="AH12" s="383"/>
      <c r="AI12" s="383"/>
      <c r="AJ12" s="383"/>
      <c r="AK12" s="383"/>
      <c r="AL12" s="383"/>
      <c r="AM12" s="383"/>
      <c r="AN12" s="383"/>
      <c r="AO12" s="383"/>
      <c r="AP12" s="340"/>
      <c r="AQ12" s="2271"/>
      <c r="AS12" s="516"/>
      <c r="AT12" s="516" t="str">
        <f>IF(V12="","",V12)</f>
        <v>Добавить вид теплоносителя (параметры теплоносителя)</v>
      </c>
      <c r="AU12" s="516"/>
      <c r="AV12" s="516"/>
      <c r="AW12" s="1171">
        <v>0</v>
      </c>
    </row>
    <row customHeight="1" ht="11.25" hidden="1">
      <c r="A13" s="1283"/>
      <c r="B13" s="1283"/>
      <c r="C13" s="1283"/>
      <c r="D13" s="1283"/>
      <c r="E13" s="2306"/>
      <c r="F13" s="2306"/>
      <c r="G13" s="2306"/>
      <c r="H13" s="2306"/>
      <c r="I13" s="2143"/>
      <c r="J13" s="1283"/>
      <c r="K13" s="1283"/>
      <c r="L13" s="1283"/>
      <c r="M13" s="1326"/>
      <c r="N13" s="525"/>
      <c r="Q13" s="2273"/>
      <c r="R13" s="1347"/>
      <c r="S13" s="1347"/>
      <c r="T13" s="372"/>
      <c r="U13" s="1294"/>
      <c r="V13" s="381" t="s">
        <v>565</v>
      </c>
      <c r="W13" s="383"/>
      <c r="X13" s="383"/>
      <c r="Y13" s="383"/>
      <c r="Z13" s="383"/>
      <c r="AA13" s="383"/>
      <c r="AB13" s="383"/>
      <c r="AC13" s="383"/>
      <c r="AD13" s="383"/>
      <c r="AE13" s="383"/>
      <c r="AF13" s="382"/>
      <c r="AG13" s="383"/>
      <c r="AH13" s="383"/>
      <c r="AI13" s="383"/>
      <c r="AJ13" s="383"/>
      <c r="AK13" s="383"/>
      <c r="AL13" s="383"/>
      <c r="AM13" s="383"/>
      <c r="AN13" s="383"/>
      <c r="AO13" s="382"/>
      <c r="AP13" s="383"/>
      <c r="AQ13" s="319"/>
      <c r="AS13" s="516"/>
      <c r="AT13" s="516" t="str">
        <f>IF(V13="","",V13)</f>
        <v>Добавить группу потребителей</v>
      </c>
      <c r="AU13" s="516"/>
      <c r="AV13" s="516"/>
      <c r="AW13" s="1171">
        <v>0</v>
      </c>
    </row>
    <row customHeight="1" ht="14.25" hidden="1">
      <c r="A14" s="1283"/>
      <c r="B14" s="1283"/>
      <c r="C14" s="1283"/>
      <c r="D14" s="1283"/>
      <c r="E14" s="2306"/>
      <c r="F14" s="2306"/>
      <c r="G14" s="2306"/>
      <c r="H14" s="2305"/>
      <c r="I14" s="1283"/>
      <c r="J14" s="1283"/>
      <c r="K14" s="1283"/>
      <c r="L14" s="1283"/>
      <c r="M14" s="1326"/>
      <c r="N14" s="704"/>
      <c r="O14" s="704"/>
      <c r="P14" s="525"/>
      <c r="Q14" s="376"/>
      <c r="R14" s="391"/>
      <c r="S14" s="371"/>
      <c r="T14" s="376"/>
      <c r="U14" s="1402"/>
      <c r="V14" s="1403"/>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5"/>
      <c r="AS14" s="516"/>
      <c r="AT14" s="516" t="str">
        <f>IF(V14="","",V14)</f>
        <v/>
      </c>
      <c r="AU14" s="516"/>
      <c r="AV14" s="516"/>
      <c r="AW14" s="1171">
        <v>0</v>
      </c>
    </row>
    <row s="1658" customFormat="1" customHeight="1" ht="14.25" hidden="1">
      <c r="A15" s="1390"/>
      <c r="B15" s="1390"/>
      <c r="C15" s="1390"/>
      <c r="D15" s="1390"/>
      <c r="E15" s="2306"/>
      <c r="F15" s="2306"/>
      <c r="G15" s="2305"/>
      <c r="H15" s="1390"/>
      <c r="I15" s="1390"/>
      <c r="J15" s="1390"/>
      <c r="K15" s="1390"/>
      <c r="L15" s="1390"/>
      <c r="M15" s="1393"/>
      <c r="N15" s="1394"/>
      <c r="O15" s="1394"/>
      <c r="P15" s="367"/>
      <c r="Q15" s="1332"/>
      <c r="R15" s="1333"/>
      <c r="S15" s="1332"/>
      <c r="T15" s="1332"/>
      <c r="U15" s="1334"/>
      <c r="V15" s="1335" t="s">
        <v>268</v>
      </c>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S15" s="805"/>
      <c r="AT15" s="805" t="str">
        <f>IF(V15="","",V15)</f>
        <v>Добавить источник для дифференциации</v>
      </c>
      <c r="AU15" s="805"/>
      <c r="AV15" s="805"/>
      <c r="AW15" s="534">
        <v>0</v>
      </c>
    </row>
    <row s="1658" customFormat="1" customHeight="1" ht="14.25" hidden="1">
      <c r="A16" s="1390"/>
      <c r="B16" s="1390"/>
      <c r="C16" s="1390"/>
      <c r="D16" s="1390"/>
      <c r="E16" s="2306"/>
      <c r="F16" s="2305"/>
      <c r="G16" s="1390"/>
      <c r="H16" s="1390"/>
      <c r="I16" s="1390"/>
      <c r="J16" s="1390"/>
      <c r="K16" s="1390"/>
      <c r="L16" s="1390"/>
      <c r="M16" s="1393"/>
      <c r="N16" s="1395"/>
      <c r="O16" s="1395"/>
      <c r="P16" s="367"/>
      <c r="Q16" s="1332"/>
      <c r="R16" s="1333"/>
      <c r="S16" s="1332"/>
      <c r="T16" s="1332"/>
      <c r="U16" s="1338"/>
      <c r="V16" s="1339" t="s">
        <v>269</v>
      </c>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S16" s="805"/>
      <c r="AT16" s="805" t="str">
        <f>IF(V16="","",V16)</f>
        <v>Добавить централизованную систему для дифференциации</v>
      </c>
      <c r="AU16" s="805"/>
      <c r="AV16" s="805"/>
      <c r="AW16" s="534">
        <v>0</v>
      </c>
    </row>
    <row s="1658" customFormat="1" customHeight="1" ht="14.25" hidden="1">
      <c r="A17" s="1390"/>
      <c r="B17" s="1390"/>
      <c r="C17" s="1390"/>
      <c r="D17" s="1390"/>
      <c r="E17" s="2305"/>
      <c r="F17" s="1390"/>
      <c r="G17" s="1390"/>
      <c r="H17" s="1390"/>
      <c r="I17" s="1390"/>
      <c r="J17" s="1390"/>
      <c r="K17" s="1390"/>
      <c r="L17" s="1390"/>
      <c r="M17" s="1393"/>
      <c r="N17" s="1395"/>
      <c r="O17" s="1395"/>
      <c r="P17" s="367"/>
      <c r="Q17" s="1332"/>
      <c r="R17" s="1333"/>
      <c r="S17" s="1332"/>
      <c r="T17" s="1332"/>
      <c r="U17" s="1338"/>
      <c r="V17" s="1341" t="s">
        <v>330</v>
      </c>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S17" s="805"/>
      <c r="AT17" s="805" t="str">
        <f>IF(V17="","",V17)</f>
        <v>Добавить территорию для дифференциации</v>
      </c>
      <c r="AU17" s="805"/>
      <c r="AV17" s="805"/>
      <c r="AW17" s="534">
        <v>0</v>
      </c>
    </row>
    <row customHeight="1" ht="14.25" hidden="1">
      <c r="AF18" s="343"/>
      <c r="AO18" s="343"/>
      <c r="AW18" s="1171">
        <v>0</v>
      </c>
    </row>
    <row customHeight="1" ht="14.25" hidden="1">
      <c r="AG19" s="1376"/>
      <c r="AH19" s="1376"/>
      <c r="AI19" s="1376"/>
      <c r="AJ19" s="1376"/>
      <c r="AK19" s="1377"/>
      <c r="AL19" s="2283"/>
      <c r="AM19" s="2284" t="s">
        <v>64</v>
      </c>
      <c r="AN19" s="2283"/>
      <c r="AO19" s="2284" t="s">
        <v>64</v>
      </c>
      <c r="AW19" s="1171">
        <v>0</v>
      </c>
    </row>
    <row customHeight="1" ht="14.25" hidden="1">
      <c r="AG20" s="1376"/>
      <c r="AH20" s="1376"/>
      <c r="AI20" s="1376"/>
      <c r="AJ20" s="1376"/>
      <c r="AK20" s="1377"/>
      <c r="AL20" s="2283"/>
      <c r="AM20" s="2284"/>
      <c r="AN20" s="2283"/>
      <c r="AO20" s="2284"/>
      <c r="AW20" s="1171">
        <v>0</v>
      </c>
    </row>
    <row customHeight="1" ht="14.25" hidden="1">
      <c r="AG21" s="1376"/>
      <c r="AH21" s="1376"/>
      <c r="AI21" s="1376"/>
      <c r="AJ21" s="1376"/>
      <c r="AK21" s="1377"/>
      <c r="AL21" s="2283"/>
      <c r="AM21" s="2284"/>
      <c r="AN21" s="2283"/>
      <c r="AO21" s="2284"/>
      <c r="AW21" s="1171">
        <v>0</v>
      </c>
    </row>
    <row customHeight="1" ht="14.25" hidden="1">
      <c r="AG22" s="1376"/>
      <c r="AH22" s="1376"/>
      <c r="AI22" s="1376"/>
      <c r="AJ22" s="1376"/>
      <c r="AK22" s="344" t="str">
        <f>AL19&amp;"-"&amp;AN19</f>
        <v>-</v>
      </c>
      <c r="AL22" s="2284"/>
      <c r="AM22" s="2284"/>
      <c r="AN22" s="2284"/>
      <c r="AO22" s="2284"/>
      <c r="AW22" s="1171">
        <v>0</v>
      </c>
    </row>
    <row customHeight="1" ht="14.25" hidden="1">
      <c r="AO23" s="343"/>
      <c r="AW23" s="1171">
        <v>0</v>
      </c>
    </row>
    <row s="1382" customFormat="1" customHeight="1" ht="22.5" hidden="1">
      <c r="A24" s="1171"/>
      <c r="B24" s="1171"/>
      <c r="C24" s="1171"/>
      <c r="D24" s="1171"/>
      <c r="E24" s="1171"/>
      <c r="F24" s="1171"/>
      <c r="G24" s="1171"/>
      <c r="H24" s="1171"/>
      <c r="I24" s="1171"/>
      <c r="J24" s="1171"/>
      <c r="K24" s="1171"/>
      <c r="L24" s="1171"/>
      <c r="M24" s="1343"/>
      <c r="N24" s="1344"/>
      <c r="O24" s="1344"/>
      <c r="P24" s="1361" t="s">
        <v>567</v>
      </c>
      <c r="Q24" s="1378"/>
      <c r="R24" s="1387"/>
      <c r="S24" s="1387"/>
      <c r="T24" s="1387"/>
      <c r="U24" s="745"/>
      <c r="AC24" s="1383"/>
      <c r="AE24" s="1383"/>
      <c r="AF24" s="1382"/>
      <c r="AL24" s="1383"/>
      <c r="AN24" s="1383"/>
      <c r="AO24" s="1382"/>
      <c r="AR24" s="527"/>
      <c r="AS24" s="527"/>
      <c r="AT24" s="527"/>
      <c r="AU24" s="527"/>
      <c r="AV24" s="527"/>
      <c r="AW24" s="1176">
        <v>0</v>
      </c>
    </row>
    <row s="1382" customFormat="1" customHeight="1" ht="14.25" hidden="1">
      <c r="A25" s="1171"/>
      <c r="B25" s="1171"/>
      <c r="C25" s="1171"/>
      <c r="D25" s="1171"/>
      <c r="E25" s="1171"/>
      <c r="F25" s="1171"/>
      <c r="G25" s="1171"/>
      <c r="H25" s="1171"/>
      <c r="I25" s="1171"/>
      <c r="J25" s="1171"/>
      <c r="K25" s="1171"/>
      <c r="L25" s="1171"/>
      <c r="M25" s="1343"/>
      <c r="N25" s="1344"/>
      <c r="O25" s="1344"/>
      <c r="P25" s="1344"/>
      <c r="Q25" s="1378"/>
      <c r="R25" s="1387"/>
      <c r="S25" s="1387"/>
      <c r="T25" s="1387"/>
      <c r="U25" s="745"/>
      <c r="AF25" s="1382"/>
      <c r="AO25" s="1382"/>
      <c r="AR25" s="527"/>
      <c r="AS25" s="527"/>
      <c r="AT25" s="527"/>
      <c r="AU25" s="527"/>
      <c r="AV25" s="527"/>
      <c r="AW25" s="1176">
        <v>0</v>
      </c>
    </row>
    <row s="1382" customFormat="1" customHeight="1" ht="14.25" hidden="1">
      <c r="A26" s="1171"/>
      <c r="B26" s="1171"/>
      <c r="C26" s="1171"/>
      <c r="D26" s="1171"/>
      <c r="E26" s="1171"/>
      <c r="F26" s="1171"/>
      <c r="G26" s="1171"/>
      <c r="H26" s="1171"/>
      <c r="I26" s="1171"/>
      <c r="J26" s="1171"/>
      <c r="K26" s="1171"/>
      <c r="L26" s="1171"/>
      <c r="M26" s="1343"/>
      <c r="N26" s="1344"/>
      <c r="O26" s="1344"/>
      <c r="P26" s="1326" t="s">
        <v>568</v>
      </c>
      <c r="Q26" s="1378"/>
      <c r="R26" s="1387"/>
      <c r="S26" s="1387"/>
      <c r="T26" s="1387"/>
      <c r="U26" s="745"/>
      <c r="V26" s="1176" t="s">
        <v>569</v>
      </c>
      <c r="AD26" s="202" t="s">
        <v>570</v>
      </c>
      <c r="AF26" s="202" t="s">
        <v>571</v>
      </c>
      <c r="AG26" s="1176" t="s">
        <v>569</v>
      </c>
      <c r="AM26" s="202" t="s">
        <v>572</v>
      </c>
      <c r="AO26" s="202" t="s">
        <v>571</v>
      </c>
      <c r="AR26" s="527"/>
      <c r="AS26" s="527"/>
      <c r="AT26" s="527"/>
      <c r="AU26" s="527"/>
      <c r="AV26" s="527"/>
      <c r="AW26" s="1176">
        <v>0</v>
      </c>
    </row>
    <row customHeight="1" ht="14.25" hidden="1">
      <c r="P27" s="1326"/>
      <c r="AW27" s="1171">
        <v>0</v>
      </c>
    </row>
    <row customHeight="1" ht="14.25" hidden="1">
      <c r="P28" s="1326"/>
      <c r="AW28" s="1171">
        <v>0</v>
      </c>
    </row>
    <row customHeight="1" ht="14.699999999999998">
      <c r="R29" s="392"/>
      <c r="S29" s="392"/>
      <c r="T29" s="392"/>
      <c r="U29" s="1291"/>
      <c r="V29" s="379"/>
      <c r="W29" s="379"/>
      <c r="X29" s="525"/>
      <c r="Y29" s="525"/>
      <c r="Z29" s="525"/>
      <c r="AA29" s="525"/>
      <c r="AB29" s="525"/>
      <c r="AC29" s="525"/>
      <c r="AD29" s="525"/>
      <c r="AE29" s="525"/>
      <c r="AF29" s="525"/>
      <c r="AG29" s="525"/>
      <c r="AH29" s="525"/>
      <c r="AI29" s="525"/>
      <c r="AJ29" s="525"/>
      <c r="AK29" s="525"/>
      <c r="AL29" s="525"/>
      <c r="AM29" s="525"/>
      <c r="AN29" s="525"/>
      <c r="AO29" s="525"/>
      <c r="AW29" s="1171">
        <v>14</v>
      </c>
    </row>
    <row customHeight="1" ht="56.699999999999996">
      <c r="R30" s="392"/>
      <c r="S30" s="392"/>
      <c r="T30" s="392"/>
      <c r="U30" s="226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4"/>
      <c r="W30" s="2264"/>
      <c r="X30" s="2264"/>
      <c r="Y30" s="2264"/>
      <c r="Z30" s="2264"/>
      <c r="AA30" s="2264"/>
      <c r="AB30" s="2264"/>
      <c r="AC30" s="2264"/>
      <c r="AD30" s="2264"/>
      <c r="AE30" s="2264"/>
      <c r="AF30" s="2264"/>
      <c r="AG30" s="2264"/>
      <c r="AH30" s="2264"/>
      <c r="AI30" s="2264"/>
      <c r="AJ30" s="2264"/>
      <c r="AK30" s="2264"/>
      <c r="AL30" s="2264"/>
      <c r="AM30" s="2264"/>
      <c r="AN30" s="2264"/>
      <c r="AO30" s="1259"/>
      <c r="AW30" s="1171">
        <v>54</v>
      </c>
    </row>
    <row customHeight="1" ht="14.699999999999998">
      <c r="R31" s="392"/>
      <c r="S31" s="392"/>
      <c r="T31" s="392"/>
      <c r="U31" s="2265" t="str">
        <f>IF(org=0,"Не определено",org)</f>
        <v>КГУП "Примтеплоэнерго"</v>
      </c>
      <c r="V31" s="2265"/>
      <c r="W31" s="2265"/>
      <c r="X31" s="2265"/>
      <c r="Y31" s="2265"/>
      <c r="Z31" s="2265"/>
      <c r="AA31" s="2265"/>
      <c r="AB31" s="2265"/>
      <c r="AC31" s="2265"/>
      <c r="AD31" s="2265"/>
      <c r="AE31" s="2265"/>
      <c r="AF31" s="2265"/>
      <c r="AG31" s="2265"/>
      <c r="AH31" s="2265"/>
      <c r="AI31" s="2265"/>
      <c r="AJ31" s="2265"/>
      <c r="AK31" s="2265"/>
      <c r="AL31" s="2265"/>
      <c r="AM31" s="2265"/>
      <c r="AN31" s="2265"/>
      <c r="AO31" s="1259"/>
      <c r="AW31" s="1171">
        <v>14</v>
      </c>
    </row>
    <row customHeight="1" ht="14.25">
      <c r="R32" s="392"/>
      <c r="S32" s="392"/>
      <c r="T32" s="392"/>
      <c r="U32" s="1291"/>
      <c r="V32" s="379"/>
      <c r="W32" s="379"/>
      <c r="X32" s="338"/>
      <c r="Y32" s="338"/>
      <c r="Z32" s="338"/>
      <c r="AA32" s="338"/>
      <c r="AB32" s="338"/>
      <c r="AC32" s="338"/>
      <c r="AD32" s="338"/>
      <c r="AE32" s="338"/>
      <c r="AF32" s="338"/>
      <c r="AG32" s="338"/>
      <c r="AH32" s="338"/>
      <c r="AI32" s="338"/>
      <c r="AJ32" s="338"/>
      <c r="AK32" s="338"/>
      <c r="AL32" s="338"/>
      <c r="AM32" s="338"/>
      <c r="AN32" s="338"/>
      <c r="AO32" s="338"/>
      <c r="AP32" s="525"/>
      <c r="AW32" s="1171">
        <v>0</v>
      </c>
    </row>
    <row s="1869" customFormat="1" customHeight="1" ht="25.5">
      <c r="A33" s="1264"/>
      <c r="B33" s="1264"/>
      <c r="C33" s="1264"/>
      <c r="D33" s="1264"/>
      <c r="E33" s="1264"/>
      <c r="F33" s="1264"/>
      <c r="G33" s="1264"/>
      <c r="H33" s="1264"/>
      <c r="I33" s="1264"/>
      <c r="J33" s="1264"/>
      <c r="K33" s="1264"/>
      <c r="L33" s="1264"/>
      <c r="M33" s="1396"/>
      <c r="N33" s="1264"/>
      <c r="O33" s="1264"/>
      <c r="P33" s="1264"/>
      <c r="U33" s="2266" t="s">
        <v>42</v>
      </c>
      <c r="V33" s="2266"/>
      <c r="W33" s="1388"/>
      <c r="X33" s="2267" t="str">
        <f>IF(TITLE_NAME_OR_PR_CHANGE="",IF(TITLE_NAME_OR_PR="","",TITLE_NAME_OR_PR),TITLE_NAME_OR_PR_CHANGE)</f>
        <v>Агентство по тарифам Приморского края</v>
      </c>
      <c r="Y33" s="2267"/>
      <c r="Z33" s="2267"/>
      <c r="AA33" s="2267"/>
      <c r="AB33" s="2267"/>
      <c r="AC33" s="2267"/>
      <c r="AD33" s="2267"/>
      <c r="AE33" s="2267"/>
      <c r="AF33" s="342"/>
      <c r="AG33" s="2267" t="str">
        <f>IF(TITLE_NAME_OR_PR_CHANGE="",IF(TITLE_NAME_OR_PR="","",TITLE_NAME_OR_PR),TITLE_NAME_OR_PR_CHANGE)</f>
        <v>Агентство по тарифам Приморского края</v>
      </c>
      <c r="AH33" s="2267"/>
      <c r="AI33" s="2267"/>
      <c r="AJ33" s="2267"/>
      <c r="AK33" s="2267"/>
      <c r="AL33" s="2267"/>
      <c r="AM33" s="2267"/>
      <c r="AN33" s="2267"/>
      <c r="AO33" s="342"/>
      <c r="AP33" s="342"/>
      <c r="AQ33" s="296"/>
      <c r="AR33" s="384"/>
      <c r="AS33" s="384"/>
      <c r="AT33" s="384"/>
      <c r="AU33" s="384"/>
      <c r="AV33" s="384"/>
      <c r="AW33" s="434">
        <v>0</v>
      </c>
    </row>
    <row s="1869" customFormat="1" customHeight="1" ht="18.75">
      <c r="A34" s="1264"/>
      <c r="B34" s="1264"/>
      <c r="C34" s="1264"/>
      <c r="D34" s="1264"/>
      <c r="E34" s="1264"/>
      <c r="F34" s="1264"/>
      <c r="G34" s="1264"/>
      <c r="H34" s="1264"/>
      <c r="I34" s="1264"/>
      <c r="J34" s="1264"/>
      <c r="K34" s="1264"/>
      <c r="L34" s="1264"/>
      <c r="M34" s="1396"/>
      <c r="N34" s="1264"/>
      <c r="O34" s="1264"/>
      <c r="P34" s="1264"/>
      <c r="U34" s="2266" t="s">
        <v>573</v>
      </c>
      <c r="V34" s="2266"/>
      <c r="W34" s="1388"/>
      <c r="X34" s="2280" t="str">
        <f>IF(TITLE_DATE_PR_CHANGE="",IF(TITLE_DATE_PR="","",TITLE_DATE_PR),TITLE_DATE_PR_CHANGE)</f>
        <v>45910</v>
      </c>
      <c r="Y34" s="2280"/>
      <c r="Z34" s="2280"/>
      <c r="AA34" s="2280"/>
      <c r="AB34" s="2280"/>
      <c r="AC34" s="2280"/>
      <c r="AD34" s="2280"/>
      <c r="AE34" s="2280"/>
      <c r="AF34" s="342"/>
      <c r="AG34" s="2280" t="str">
        <f>IF(TITLE_DATE_PR_CHANGE="",IF(TITLE_DATE_PR="","",TITLE_DATE_PR),TITLE_DATE_PR_CHANGE)</f>
        <v>45910</v>
      </c>
      <c r="AH34" s="2280"/>
      <c r="AI34" s="2280"/>
      <c r="AJ34" s="2280"/>
      <c r="AK34" s="2280"/>
      <c r="AL34" s="2280"/>
      <c r="AM34" s="2280"/>
      <c r="AN34" s="2280"/>
      <c r="AO34" s="342"/>
      <c r="AP34" s="342"/>
      <c r="AQ34" s="296"/>
      <c r="AR34" s="384"/>
      <c r="AS34" s="384"/>
      <c r="AT34" s="384"/>
      <c r="AU34" s="384"/>
      <c r="AV34" s="384"/>
      <c r="AW34" s="434">
        <v>0</v>
      </c>
    </row>
    <row s="1869" customFormat="1" customHeight="1" ht="18.75">
      <c r="A35" s="1264"/>
      <c r="B35" s="1264"/>
      <c r="C35" s="1264"/>
      <c r="D35" s="1264"/>
      <c r="E35" s="1264"/>
      <c r="F35" s="1264"/>
      <c r="G35" s="1264"/>
      <c r="H35" s="1264"/>
      <c r="I35" s="1264"/>
      <c r="J35" s="1264"/>
      <c r="K35" s="1264"/>
      <c r="L35" s="1264"/>
      <c r="M35" s="1396"/>
      <c r="N35" s="1264"/>
      <c r="O35" s="1264"/>
      <c r="P35" s="1264"/>
      <c r="U35" s="2266" t="s">
        <v>574</v>
      </c>
      <c r="V35" s="2266"/>
      <c r="W35" s="1388"/>
      <c r="X35" s="2267" t="str">
        <f>IF(TITLE_NUMBER_PR_CHANGE="",IF(TITLE_NUMBER_PR="","",TITLE_NUMBER_PR),TITLE_NUMBER_PR_CHANGE)</f>
        <v>37/2</v>
      </c>
      <c r="Y35" s="2267"/>
      <c r="Z35" s="2267"/>
      <c r="AA35" s="2267"/>
      <c r="AB35" s="2267"/>
      <c r="AC35" s="2267"/>
      <c r="AD35" s="2267"/>
      <c r="AE35" s="2267"/>
      <c r="AF35" s="342"/>
      <c r="AG35" s="2267" t="str">
        <f>IF(TITLE_NUMBER_PR_CHANGE="",IF(TITLE_NUMBER_PR="","",TITLE_NUMBER_PR),TITLE_NUMBER_PR_CHANGE)</f>
        <v>37/2</v>
      </c>
      <c r="AH35" s="2267"/>
      <c r="AI35" s="2267"/>
      <c r="AJ35" s="2267"/>
      <c r="AK35" s="2267"/>
      <c r="AL35" s="2267"/>
      <c r="AM35" s="2267"/>
      <c r="AN35" s="2267"/>
      <c r="AO35" s="342"/>
      <c r="AP35" s="342"/>
      <c r="AQ35" s="296"/>
      <c r="AR35" s="384"/>
      <c r="AS35" s="384"/>
      <c r="AT35" s="384"/>
      <c r="AU35" s="384"/>
      <c r="AV35" s="384"/>
      <c r="AW35" s="434">
        <v>0</v>
      </c>
    </row>
    <row s="1869" customFormat="1" customHeight="1" ht="18.75">
      <c r="A36" s="1264"/>
      <c r="B36" s="1264"/>
      <c r="C36" s="1264"/>
      <c r="D36" s="1264"/>
      <c r="E36" s="1264"/>
      <c r="F36" s="1264"/>
      <c r="G36" s="1264"/>
      <c r="H36" s="1264"/>
      <c r="I36" s="1264"/>
      <c r="J36" s="1264"/>
      <c r="K36" s="1264"/>
      <c r="L36" s="1264"/>
      <c r="M36" s="1396"/>
      <c r="N36" s="1264"/>
      <c r="O36" s="1264"/>
      <c r="P36" s="1264"/>
      <c r="U36" s="2266" t="s">
        <v>44</v>
      </c>
      <c r="V36" s="2266"/>
      <c r="W36" s="1388"/>
      <c r="X36" s="2267" t="str">
        <f>IF(TITLE_IST_PUB_CHANGE="",IF(TITLE_IST_PUB="","",TITLE_IST_PUB),TITLE_IST_PUB_CHANGE)</f>
        <v>http://pravo.gov.ru</v>
      </c>
      <c r="Y36" s="2267"/>
      <c r="Z36" s="2267"/>
      <c r="AA36" s="2267"/>
      <c r="AB36" s="2267"/>
      <c r="AC36" s="2267"/>
      <c r="AD36" s="2267"/>
      <c r="AE36" s="2267"/>
      <c r="AF36" s="342"/>
      <c r="AG36" s="2267" t="str">
        <f>IF(TITLE_IST_PUB_CHANGE="",IF(TITLE_IST_PUB="","",TITLE_IST_PUB),TITLE_IST_PUB_CHANGE)</f>
        <v>http://pravo.gov.ru</v>
      </c>
      <c r="AH36" s="2267"/>
      <c r="AI36" s="2267"/>
      <c r="AJ36" s="2267"/>
      <c r="AK36" s="2267"/>
      <c r="AL36" s="2267"/>
      <c r="AM36" s="2267"/>
      <c r="AN36" s="2267"/>
      <c r="AO36" s="342"/>
      <c r="AP36" s="342"/>
      <c r="AQ36" s="296"/>
      <c r="AR36" s="384"/>
      <c r="AS36" s="384"/>
      <c r="AT36" s="384"/>
      <c r="AU36" s="384"/>
      <c r="AV36" s="384"/>
      <c r="AW36" s="434">
        <v>0</v>
      </c>
    </row>
    <row customHeight="1" ht="14.25" hidden="1">
      <c r="R37" s="392"/>
      <c r="S37" s="392"/>
      <c r="T37" s="392"/>
      <c r="U37" s="1291"/>
      <c r="V37" s="379"/>
      <c r="W37" s="379"/>
      <c r="X37" s="338"/>
      <c r="Y37" s="338"/>
      <c r="Z37" s="338"/>
      <c r="AA37" s="338"/>
      <c r="AB37" s="338"/>
      <c r="AC37" s="338"/>
      <c r="AD37" s="338"/>
      <c r="AE37" s="338"/>
      <c r="AF37" s="338"/>
      <c r="AG37" s="338"/>
      <c r="AH37" s="338"/>
      <c r="AI37" s="338"/>
      <c r="AJ37" s="338"/>
      <c r="AK37" s="338"/>
      <c r="AL37" s="338"/>
      <c r="AM37" s="338"/>
      <c r="AN37" s="338"/>
      <c r="AO37" s="338"/>
      <c r="AP37" s="525"/>
      <c r="AW37" s="1171">
        <v>0</v>
      </c>
    </row>
    <row s="1869" customFormat="1" customHeight="1" ht="18.75" hidden="1">
      <c r="A38" s="1264"/>
      <c r="B38" s="1264"/>
      <c r="C38" s="1264"/>
      <c r="D38" s="1264"/>
      <c r="E38" s="1264"/>
      <c r="F38" s="1264"/>
      <c r="G38" s="1264"/>
      <c r="H38" s="1264"/>
      <c r="I38" s="1264"/>
      <c r="J38" s="1264"/>
      <c r="K38" s="1264"/>
      <c r="L38" s="1264"/>
      <c r="M38" s="1396"/>
      <c r="N38" s="1264"/>
      <c r="O38" s="1264"/>
      <c r="P38" s="1264"/>
      <c r="U38" s="2266" t="s">
        <v>575</v>
      </c>
      <c r="V38" s="2266"/>
      <c r="W38" s="1388"/>
      <c r="X38" s="2280" t="str">
        <f>IF(TITLE_DATE_PR_CHANGE="",IF(TITLE_DATE_PR="","",TITLE_DATE_PR),TITLE_DATE_PR_CHANGE)</f>
        <v>45910</v>
      </c>
      <c r="Y38" s="2280"/>
      <c r="Z38" s="2280"/>
      <c r="AA38" s="2280"/>
      <c r="AB38" s="2280"/>
      <c r="AC38" s="2280"/>
      <c r="AD38" s="2280"/>
      <c r="AE38" s="2280"/>
      <c r="AF38" s="342"/>
      <c r="AG38" s="2280" t="str">
        <f>IF(TITLE_DATE_PR_CHANGE="",IF(TITLE_DATE_PR="","",TITLE_DATE_PR),TITLE_DATE_PR_CHANGE)</f>
        <v>45910</v>
      </c>
      <c r="AH38" s="2280"/>
      <c r="AI38" s="2280"/>
      <c r="AJ38" s="2280"/>
      <c r="AK38" s="2280"/>
      <c r="AL38" s="2280"/>
      <c r="AM38" s="2280"/>
      <c r="AN38" s="2280"/>
      <c r="AO38" s="342"/>
      <c r="AP38" s="342"/>
      <c r="AQ38" s="296"/>
      <c r="AR38" s="384"/>
      <c r="AS38" s="384"/>
      <c r="AT38" s="384"/>
      <c r="AU38" s="384"/>
      <c r="AV38" s="384"/>
      <c r="AW38" s="434">
        <v>0</v>
      </c>
    </row>
    <row s="1869" customFormat="1" customHeight="1" ht="18.75" hidden="1">
      <c r="A39" s="1264"/>
      <c r="B39" s="1264"/>
      <c r="C39" s="1264"/>
      <c r="D39" s="1264"/>
      <c r="E39" s="1264"/>
      <c r="F39" s="1264"/>
      <c r="G39" s="1264"/>
      <c r="H39" s="1264"/>
      <c r="I39" s="1264"/>
      <c r="J39" s="1264"/>
      <c r="K39" s="1264"/>
      <c r="L39" s="1264"/>
      <c r="M39" s="1396"/>
      <c r="N39" s="1264"/>
      <c r="O39" s="1264"/>
      <c r="P39" s="1264"/>
      <c r="U39" s="2266" t="s">
        <v>576</v>
      </c>
      <c r="V39" s="2266"/>
      <c r="W39" s="1388"/>
      <c r="X39" s="2267" t="str">
        <f>IF(TITLE_NUMBER_PR_CHANGE="",IF(TITLE_NUMBER_PR="","",TITLE_NUMBER_PR),TITLE_NUMBER_PR_CHANGE)</f>
        <v>37/2</v>
      </c>
      <c r="Y39" s="2267"/>
      <c r="Z39" s="2267"/>
      <c r="AA39" s="2267"/>
      <c r="AB39" s="2267"/>
      <c r="AC39" s="2267"/>
      <c r="AD39" s="2267"/>
      <c r="AE39" s="2267"/>
      <c r="AF39" s="342"/>
      <c r="AG39" s="2267" t="str">
        <f>IF(TITLE_NUMBER_PR_CHANGE="",IF(TITLE_NUMBER_PR="","",TITLE_NUMBER_PR),TITLE_NUMBER_PR_CHANGE)</f>
        <v>37/2</v>
      </c>
      <c r="AH39" s="2267"/>
      <c r="AI39" s="2267"/>
      <c r="AJ39" s="2267"/>
      <c r="AK39" s="2267"/>
      <c r="AL39" s="2267"/>
      <c r="AM39" s="2267"/>
      <c r="AN39" s="2267"/>
      <c r="AO39" s="342"/>
      <c r="AP39" s="342"/>
      <c r="AQ39" s="296"/>
      <c r="AR39" s="384"/>
      <c r="AS39" s="384"/>
      <c r="AT39" s="384"/>
      <c r="AU39" s="384"/>
      <c r="AV39" s="384"/>
      <c r="AW39" s="434">
        <v>0</v>
      </c>
    </row>
    <row s="1869" customFormat="1" customHeight="1" ht="0">
      <c r="A40" s="1264"/>
      <c r="B40" s="1264"/>
      <c r="C40" s="1264"/>
      <c r="D40" s="1264"/>
      <c r="E40" s="1264"/>
      <c r="F40" s="1264"/>
      <c r="G40" s="1264"/>
      <c r="H40" s="1264"/>
      <c r="I40" s="1264"/>
      <c r="J40" s="1264"/>
      <c r="K40" s="1264"/>
      <c r="L40" s="1264"/>
      <c r="M40" s="1396"/>
      <c r="N40" s="1264"/>
      <c r="O40" s="1264"/>
      <c r="P40" s="1264"/>
      <c r="U40" s="339"/>
      <c r="V40" s="339"/>
      <c r="W40" s="1356"/>
      <c r="X40" s="342"/>
      <c r="Y40" s="342"/>
      <c r="Z40" s="342"/>
      <c r="AA40" s="342"/>
      <c r="AB40" s="342"/>
      <c r="AC40" s="342"/>
      <c r="AD40" s="342"/>
      <c r="AE40" s="342"/>
      <c r="AF40" s="294" t="s">
        <v>577</v>
      </c>
      <c r="AG40" s="342"/>
      <c r="AH40" s="342"/>
      <c r="AI40" s="342"/>
      <c r="AJ40" s="342"/>
      <c r="AK40" s="342"/>
      <c r="AL40" s="342"/>
      <c r="AM40" s="342"/>
      <c r="AN40" s="342"/>
      <c r="AO40" s="294" t="s">
        <v>577</v>
      </c>
      <c r="AR40" s="384"/>
      <c r="AS40" s="384"/>
      <c r="AT40" s="384"/>
      <c r="AU40" s="384"/>
      <c r="AV40" s="384"/>
      <c r="AW40" s="434">
        <v>0</v>
      </c>
    </row>
    <row customHeight="1" ht="14.699999999999998">
      <c r="R41" s="392"/>
      <c r="S41" s="392"/>
      <c r="T41" s="392"/>
      <c r="U41" s="1291"/>
      <c r="V41" s="379"/>
      <c r="W41" s="1260"/>
      <c r="X41" s="2268"/>
      <c r="Y41" s="2268"/>
      <c r="Z41" s="2268"/>
      <c r="AA41" s="2268"/>
      <c r="AB41" s="2268"/>
      <c r="AC41" s="2268"/>
      <c r="AD41" s="2268"/>
      <c r="AE41" s="2268"/>
      <c r="AF41" s="2268"/>
      <c r="AG41" s="2268"/>
      <c r="AH41" s="2268"/>
      <c r="AI41" s="2268"/>
      <c r="AJ41" s="2268"/>
      <c r="AK41" s="2268"/>
      <c r="AL41" s="2268"/>
      <c r="AM41" s="2268"/>
      <c r="AN41" s="2268"/>
      <c r="AO41" s="2268"/>
      <c r="AW41" s="1171">
        <v>14</v>
      </c>
    </row>
    <row customHeight="1" ht="14.699999999999998">
      <c r="R42" s="392"/>
      <c r="S42" s="392"/>
      <c r="T42" s="392"/>
      <c r="U42" s="2143" t="s">
        <v>453</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454</v>
      </c>
      <c r="AW42" s="1171">
        <v>14</v>
      </c>
    </row>
    <row customHeight="1" ht="14.699999999999998">
      <c r="R43" s="392"/>
      <c r="S43" s="392"/>
      <c r="T43" s="392"/>
      <c r="U43" s="2289" t="s">
        <v>91</v>
      </c>
      <c r="V43" s="2225" t="s">
        <v>578</v>
      </c>
      <c r="W43" s="317"/>
      <c r="X43" s="2290" t="s">
        <v>579</v>
      </c>
      <c r="Y43" s="2307"/>
      <c r="Z43" s="2307"/>
      <c r="AA43" s="2307"/>
      <c r="AB43" s="2307"/>
      <c r="AC43" s="2291"/>
      <c r="AD43" s="2291"/>
      <c r="AE43" s="2292"/>
      <c r="AF43" s="2293" t="s">
        <v>580</v>
      </c>
      <c r="AG43" s="2290" t="s">
        <v>579</v>
      </c>
      <c r="AH43" s="2307"/>
      <c r="AI43" s="2307"/>
      <c r="AJ43" s="2307"/>
      <c r="AK43" s="2307"/>
      <c r="AL43" s="2291"/>
      <c r="AM43" s="2291"/>
      <c r="AN43" s="2292"/>
      <c r="AO43" s="2293" t="s">
        <v>581</v>
      </c>
      <c r="AP43" s="2296" t="s">
        <v>582</v>
      </c>
      <c r="AQ43" s="2143"/>
      <c r="AW43" s="1171">
        <v>14</v>
      </c>
    </row>
    <row customHeight="1" ht="35.699999999999996">
      <c r="R44" s="392"/>
      <c r="S44" s="392"/>
      <c r="T44" s="392"/>
      <c r="U44" s="2289"/>
      <c r="V44" s="2225"/>
      <c r="W44" s="1047"/>
      <c r="X44" s="2310" t="s">
        <v>604</v>
      </c>
      <c r="Y44" s="2328" t="s">
        <v>605</v>
      </c>
      <c r="Z44" s="2328"/>
      <c r="AA44" s="2328"/>
      <c r="AB44" s="2328"/>
      <c r="AC44" s="2310" t="s">
        <v>586</v>
      </c>
      <c r="AD44" s="2627"/>
      <c r="AE44" s="2330"/>
      <c r="AF44" s="2294"/>
      <c r="AG44" s="2310" t="s">
        <v>604</v>
      </c>
      <c r="AH44" s="2328" t="s">
        <v>605</v>
      </c>
      <c r="AI44" s="2328"/>
      <c r="AJ44" s="2328"/>
      <c r="AK44" s="2328"/>
      <c r="AL44" s="2310" t="s">
        <v>586</v>
      </c>
      <c r="AM44" s="2627"/>
      <c r="AN44" s="2330"/>
      <c r="AO44" s="2294"/>
      <c r="AP44" s="2297"/>
      <c r="AQ44" s="2143"/>
      <c r="AW44" s="1171">
        <v>34</v>
      </c>
    </row>
    <row customHeight="1" ht="14.699999999999998">
      <c r="R45" s="392"/>
      <c r="S45" s="392"/>
      <c r="T45" s="392"/>
      <c r="U45" s="2289"/>
      <c r="V45" s="2225"/>
      <c r="W45" s="1047"/>
      <c r="X45" s="2341"/>
      <c r="Y45" s="2333" t="s">
        <v>606</v>
      </c>
      <c r="Z45" s="2286" t="s">
        <v>607</v>
      </c>
      <c r="AA45" s="2336"/>
      <c r="AB45" s="2287"/>
      <c r="AC45" s="2311"/>
      <c r="AD45" s="2628"/>
      <c r="AE45" s="2332"/>
      <c r="AF45" s="2294"/>
      <c r="AG45" s="2341"/>
      <c r="AH45" s="2333" t="s">
        <v>606</v>
      </c>
      <c r="AI45" s="2286" t="s">
        <v>607</v>
      </c>
      <c r="AJ45" s="2336"/>
      <c r="AK45" s="2287"/>
      <c r="AL45" s="2311"/>
      <c r="AM45" s="2628"/>
      <c r="AN45" s="2332"/>
      <c r="AO45" s="2294"/>
      <c r="AP45" s="2297"/>
      <c r="AQ45" s="2143"/>
      <c r="AW45" s="1171">
        <v>14</v>
      </c>
    </row>
    <row customHeight="1" ht="27.299999999999997">
      <c r="R46" s="392"/>
      <c r="S46" s="392"/>
      <c r="T46" s="392"/>
      <c r="U46" s="2289"/>
      <c r="V46" s="2225"/>
      <c r="W46" s="1047"/>
      <c r="X46" s="2341"/>
      <c r="Y46" s="2334"/>
      <c r="Z46" s="2333" t="s">
        <v>608</v>
      </c>
      <c r="AA46" s="2286" t="s">
        <v>609</v>
      </c>
      <c r="AB46" s="2287"/>
      <c r="AC46" s="2333" t="s">
        <v>596</v>
      </c>
      <c r="AD46" s="2337" t="s">
        <v>597</v>
      </c>
      <c r="AE46" s="2338"/>
      <c r="AF46" s="2294"/>
      <c r="AG46" s="2341"/>
      <c r="AH46" s="2334"/>
      <c r="AI46" s="2333" t="s">
        <v>608</v>
      </c>
      <c r="AJ46" s="2286" t="s">
        <v>609</v>
      </c>
      <c r="AK46" s="2287"/>
      <c r="AL46" s="2333" t="s">
        <v>596</v>
      </c>
      <c r="AM46" s="2337" t="s">
        <v>597</v>
      </c>
      <c r="AN46" s="2338"/>
      <c r="AO46" s="2294"/>
      <c r="AP46" s="2297"/>
      <c r="AQ46" s="2143"/>
      <c r="AW46" s="1171">
        <v>26</v>
      </c>
    </row>
    <row customHeight="1" ht="65.25">
      <c r="A47" s="1275"/>
      <c r="B47" s="1275" t="s">
        <v>204</v>
      </c>
      <c r="C47" s="1275" t="s">
        <v>205</v>
      </c>
      <c r="D47" s="1275" t="s">
        <v>206</v>
      </c>
      <c r="E47" s="1326" t="s">
        <v>587</v>
      </c>
      <c r="F47" s="1326" t="s">
        <v>588</v>
      </c>
      <c r="G47" s="1326" t="s">
        <v>589</v>
      </c>
      <c r="H47" s="1326" t="s">
        <v>590</v>
      </c>
      <c r="I47" s="1326" t="s">
        <v>591</v>
      </c>
      <c r="J47" s="1326" t="s">
        <v>592</v>
      </c>
      <c r="K47" s="1326" t="s">
        <v>593</v>
      </c>
      <c r="L47" s="1326" t="s">
        <v>610</v>
      </c>
      <c r="M47" s="1326" t="s">
        <v>568</v>
      </c>
      <c r="R47" s="392"/>
      <c r="S47" s="392"/>
      <c r="T47" s="392"/>
      <c r="U47" s="2289"/>
      <c r="V47" s="2225"/>
      <c r="W47" s="318"/>
      <c r="X47" s="2311"/>
      <c r="Y47" s="2335"/>
      <c r="Z47" s="2335"/>
      <c r="AA47" s="1238" t="s">
        <v>611</v>
      </c>
      <c r="AB47" s="1238" t="s">
        <v>612</v>
      </c>
      <c r="AC47" s="2335"/>
      <c r="AD47" s="2339"/>
      <c r="AE47" s="2340"/>
      <c r="AF47" s="2295"/>
      <c r="AG47" s="2311"/>
      <c r="AH47" s="2335"/>
      <c r="AI47" s="2335"/>
      <c r="AJ47" s="1238" t="s">
        <v>611</v>
      </c>
      <c r="AK47" s="1238" t="s">
        <v>612</v>
      </c>
      <c r="AL47" s="2335"/>
      <c r="AM47" s="2339"/>
      <c r="AN47" s="2340"/>
      <c r="AO47" s="2295"/>
      <c r="AP47" s="2298"/>
      <c r="AQ47" s="2143"/>
      <c r="AW47" s="1171">
        <v>62</v>
      </c>
    </row>
    <row s="1657" customFormat="1" customHeight="1" ht="11.25" hidden="1">
      <c r="A48" s="1275"/>
      <c r="B48" s="1275"/>
      <c r="C48" s="1275"/>
      <c r="D48" s="1275"/>
      <c r="E48" s="1275"/>
      <c r="F48" s="1275"/>
      <c r="G48" s="1275"/>
      <c r="H48" s="1275"/>
      <c r="I48" s="1275"/>
      <c r="J48" s="1275"/>
      <c r="K48" s="1275"/>
      <c r="L48" s="1275"/>
      <c r="M48" s="1326"/>
      <c r="N48" s="1344"/>
      <c r="O48" s="1344"/>
      <c r="P48" s="1344"/>
      <c r="Q48" s="1262"/>
      <c r="R48" s="1263"/>
      <c r="S48" s="1270">
        <v>1</v>
      </c>
      <c r="T48" s="1270"/>
      <c r="U48" s="1293" t="s">
        <v>141</v>
      </c>
      <c r="V48" s="1271" t="s">
        <v>107</v>
      </c>
      <c r="W48" s="1261" t="str">
        <f>OFFSET(W48,0,-1)</f>
        <v>2</v>
      </c>
      <c r="X48" s="1351">
        <f>OFFSET(X48,0,-1)+1</f>
        <v>3</v>
      </c>
      <c r="Y48" s="1357"/>
      <c r="Z48" s="1357"/>
      <c r="AA48" s="1357">
        <f>OFFSET(AA48,0,-1)+1</f>
        <v>1</v>
      </c>
      <c r="AB48" s="1357">
        <f>OFFSET(AB48,0,-1)+1</f>
        <v>2</v>
      </c>
      <c r="AC48" s="1351">
        <f>OFFSET(AC48,0,-1)+1</f>
        <v>3</v>
      </c>
      <c r="AD48" s="2288">
        <f>OFFSET(AD48,0,-1)+1</f>
        <v>4</v>
      </c>
      <c r="AE48" s="2288"/>
      <c r="AF48" s="1351">
        <f>OFFSET(AF48,0,-2)+1</f>
        <v>5</v>
      </c>
      <c r="AG48" s="1351">
        <f>OFFSET(AG48,0,-1)+1</f>
        <v>6</v>
      </c>
      <c r="AH48" s="1351"/>
      <c r="AI48" s="1351"/>
      <c r="AJ48" s="1351">
        <f>OFFSET(AJ48,0,-1)+1</f>
        <v>1</v>
      </c>
      <c r="AK48" s="1351">
        <f>OFFSET(AK48,0,-1)+1</f>
        <v>2</v>
      </c>
      <c r="AL48" s="1351">
        <f>OFFSET(AL48,0,-1)+1</f>
        <v>3</v>
      </c>
      <c r="AM48" s="2288">
        <f>OFFSET(AM48,0,-1)+1</f>
        <v>4</v>
      </c>
      <c r="AN48" s="2288"/>
      <c r="AO48" s="1351">
        <f>OFFSET(AO48,0,-2)+1</f>
        <v>5</v>
      </c>
      <c r="AP48" s="1261">
        <f>OFFSET(AP48,0,-1)</f>
        <v>5</v>
      </c>
      <c r="AQ48" s="1351">
        <f>OFFSET(AQ48,0,-1)+1</f>
        <v>6</v>
      </c>
      <c r="AR48" s="527"/>
      <c r="AS48" s="527"/>
      <c r="AT48" s="527"/>
      <c r="AU48" s="527"/>
      <c r="AV48" s="527"/>
      <c r="AW48" s="512">
        <v>0</v>
      </c>
    </row>
    <row customHeight="1" ht="22.049999999999997">
      <c r="A49" s="1283" t="s">
        <v>237</v>
      </c>
      <c r="B49" s="1283"/>
      <c r="C49" s="1283"/>
      <c r="D49" s="1283"/>
      <c r="E49" s="2305">
        <v>1</v>
      </c>
      <c r="F49" s="1283"/>
      <c r="G49" s="1283"/>
      <c r="H49" s="1283"/>
      <c r="I49" s="1283"/>
      <c r="J49" s="1283"/>
      <c r="K49" s="1283"/>
      <c r="L49" s="1283"/>
      <c r="M49" s="1326"/>
      <c r="N49" s="704"/>
      <c r="O49" s="704"/>
      <c r="P49" s="704"/>
      <c r="Q49" s="377"/>
      <c r="R49" s="376"/>
      <c r="S49" s="376"/>
      <c r="T49" s="371"/>
      <c r="U49" s="1352">
        <f>INDEX(PT_DIFFERENTIATION_NUM_NTAR,MATCH(A49,PT_DIFFERENTIATION_NTAR_ID,0))</f>
        <v>0</v>
      </c>
      <c r="V49" s="314" t="s">
        <v>192</v>
      </c>
      <c r="W49" s="316"/>
      <c r="X49" s="2258"/>
      <c r="Y49" s="2259"/>
      <c r="Z49" s="2259"/>
      <c r="AA49" s="2259"/>
      <c r="AB49" s="2259"/>
      <c r="AC49" s="2259"/>
      <c r="AD49" s="2259"/>
      <c r="AE49" s="2259"/>
      <c r="AF49" s="2260"/>
      <c r="AG49" s="2258" t="str">
        <f>INDEX(PT_DIFFERENTIATION_NTAR,MATCH(A49,PT_DIFFERENTIATION_NTAR_ID,0))</f>
        <v/>
      </c>
      <c r="AH49" s="2259"/>
      <c r="AI49" s="2259"/>
      <c r="AJ49" s="2259"/>
      <c r="AK49" s="2259"/>
      <c r="AL49" s="2259"/>
      <c r="AM49" s="2259"/>
      <c r="AN49" s="2259"/>
      <c r="AO49" s="2259"/>
      <c r="AP49" s="2260"/>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16"/>
      <c r="AT49" s="516" t="str">
        <f>IF(V49="","",V49)</f>
        <v>Наименование тарифа</v>
      </c>
      <c r="AU49" s="516"/>
      <c r="AV49" s="516"/>
      <c r="AW49" s="1171">
        <v>21</v>
      </c>
    </row>
    <row customHeight="1" ht="22.049999999999997">
      <c r="A50" s="1283" t="s">
        <v>237</v>
      </c>
      <c r="B50" s="1283" t="s">
        <v>238</v>
      </c>
      <c r="C50" s="1283"/>
      <c r="D50" s="1283"/>
      <c r="E50" s="2306"/>
      <c r="F50" s="2305">
        <v>1</v>
      </c>
      <c r="G50" s="1283"/>
      <c r="H50" s="1283"/>
      <c r="I50" s="1283"/>
      <c r="J50" s="1283"/>
      <c r="K50" s="1283"/>
      <c r="L50" s="1283"/>
      <c r="M50" s="1326"/>
      <c r="N50" s="704"/>
      <c r="O50" s="704"/>
      <c r="P50" s="704"/>
      <c r="Q50" s="1348"/>
      <c r="R50" s="368"/>
      <c r="S50" s="525"/>
      <c r="T50" s="369"/>
      <c r="U50" s="1352" t="str">
        <f>INDEX(PT_DIFFERENTIATION_NUM_TER,MATCH(B50,PT_DIFFERENTIATION_TER_ID,0))</f>
        <v>.</v>
      </c>
      <c r="V50" s="324" t="s">
        <v>550</v>
      </c>
      <c r="W50" s="316"/>
      <c r="X50" s="2258"/>
      <c r="Y50" s="2259"/>
      <c r="Z50" s="2259"/>
      <c r="AA50" s="2259"/>
      <c r="AB50" s="2259"/>
      <c r="AC50" s="2259"/>
      <c r="AD50" s="2259"/>
      <c r="AE50" s="2259"/>
      <c r="AF50" s="2260"/>
      <c r="AG50" s="2258" t="str">
        <f>INDEX(PT_DIFFERENTIATION_TER,MATCH(B50,PT_DIFFERENTIATION_TER_ID,0))</f>
        <v/>
      </c>
      <c r="AH50" s="2259"/>
      <c r="AI50" s="2259"/>
      <c r="AJ50" s="2259"/>
      <c r="AK50" s="2259"/>
      <c r="AL50" s="2259"/>
      <c r="AM50" s="2259"/>
      <c r="AN50" s="2259"/>
      <c r="AO50" s="2259"/>
      <c r="AP50" s="2260"/>
      <c r="AQ50" s="1274" t="s">
        <v>551</v>
      </c>
      <c r="AS50" s="516"/>
      <c r="AT50" s="516" t="str">
        <f>IF(V50="","",V50)</f>
        <v>Территория действия тарифа</v>
      </c>
      <c r="AU50" s="516"/>
      <c r="AV50" s="516"/>
      <c r="AW50" s="1171">
        <v>21</v>
      </c>
    </row>
    <row customHeight="1" ht="24">
      <c r="A51" s="1283" t="s">
        <v>237</v>
      </c>
      <c r="B51" s="1283" t="s">
        <v>238</v>
      </c>
      <c r="C51" s="1283" t="s">
        <v>239</v>
      </c>
      <c r="D51" s="1283"/>
      <c r="E51" s="2306"/>
      <c r="F51" s="2306"/>
      <c r="G51" s="2305">
        <v>1</v>
      </c>
      <c r="H51" s="1283"/>
      <c r="I51" s="1283"/>
      <c r="J51" s="1283"/>
      <c r="K51" s="1283"/>
      <c r="L51" s="1283"/>
      <c r="M51" s="1326"/>
      <c r="N51" s="704"/>
      <c r="O51" s="704"/>
      <c r="P51" s="704"/>
      <c r="Q51" s="370"/>
      <c r="R51" s="368"/>
      <c r="S51" s="525"/>
      <c r="T51" s="369"/>
      <c r="U51" s="1352" t="str">
        <f>INDEX(PT_DIFFERENTIATION_NUM_CS,MATCH(C51,PT_DIFFERENTIATION_CS_ID,0))</f>
        <v>..</v>
      </c>
      <c r="V51" s="325" t="s">
        <v>552</v>
      </c>
      <c r="W51" s="316"/>
      <c r="X51" s="2258"/>
      <c r="Y51" s="2259"/>
      <c r="Z51" s="2259"/>
      <c r="AA51" s="2259"/>
      <c r="AB51" s="2259"/>
      <c r="AC51" s="2259"/>
      <c r="AD51" s="2259"/>
      <c r="AE51" s="2259"/>
      <c r="AF51" s="2260"/>
      <c r="AG51" s="2258" t="str">
        <f>INDEX(PT_DIFFERENTIATION_CS,MATCH(C51,PT_DIFFERENTIATION_CS_ID,0))</f>
        <v/>
      </c>
      <c r="AH51" s="2259"/>
      <c r="AI51" s="2259"/>
      <c r="AJ51" s="2259"/>
      <c r="AK51" s="2259"/>
      <c r="AL51" s="2259"/>
      <c r="AM51" s="2259"/>
      <c r="AN51" s="2259"/>
      <c r="AO51" s="2259"/>
      <c r="AP51" s="2260"/>
      <c r="AQ51" s="1274" t="s">
        <v>553</v>
      </c>
      <c r="AS51" s="516"/>
      <c r="AT51" s="516" t="str">
        <f>IF(V51="","",V51)</f>
        <v>Наименование системы теплоснабжения </v>
      </c>
      <c r="AU51" s="516"/>
      <c r="AV51" s="516"/>
      <c r="AW51" s="1171">
        <v>23</v>
      </c>
    </row>
    <row customHeight="1" ht="22.049999999999997">
      <c r="A52" s="1283" t="s">
        <v>237</v>
      </c>
      <c r="B52" s="1283" t="s">
        <v>238</v>
      </c>
      <c r="C52" s="1283" t="s">
        <v>239</v>
      </c>
      <c r="D52" s="1283" t="s">
        <v>240</v>
      </c>
      <c r="E52" s="2306"/>
      <c r="F52" s="2306"/>
      <c r="G52" s="2306"/>
      <c r="H52" s="2326">
        <v>1</v>
      </c>
      <c r="I52" s="1283"/>
      <c r="J52" s="1283"/>
      <c r="K52" s="1283"/>
      <c r="L52" s="1283"/>
      <c r="M52" s="1326"/>
      <c r="N52" s="704"/>
      <c r="O52" s="704"/>
      <c r="P52" s="704"/>
      <c r="Q52" s="370"/>
      <c r="R52" s="368"/>
      <c r="S52" s="525"/>
      <c r="T52" s="369"/>
      <c r="U52" s="1352" t="str">
        <f>INDEX(PT_DIFFERENTIATION_NUM_IST_TE,MATCH(D52,PT_DIFFERENTIATION_IST_TE_ID,0))</f>
        <v>...</v>
      </c>
      <c r="V52" s="326" t="s">
        <v>554</v>
      </c>
      <c r="W52" s="316"/>
      <c r="X52" s="2258"/>
      <c r="Y52" s="2259"/>
      <c r="Z52" s="2259"/>
      <c r="AA52" s="2259"/>
      <c r="AB52" s="2259"/>
      <c r="AC52" s="2259"/>
      <c r="AD52" s="2259"/>
      <c r="AE52" s="2259"/>
      <c r="AF52" s="2260"/>
      <c r="AG52" s="2258" t="str">
        <f>INDEX(PT_DIFFERENTIATION_IST_TE,MATCH(D52,PT_DIFFERENTIATION_IST_TE_ID,0))</f>
        <v/>
      </c>
      <c r="AH52" s="2259"/>
      <c r="AI52" s="2259"/>
      <c r="AJ52" s="2259"/>
      <c r="AK52" s="2259"/>
      <c r="AL52" s="2259"/>
      <c r="AM52" s="2259"/>
      <c r="AN52" s="2259"/>
      <c r="AO52" s="2259"/>
      <c r="AP52" s="2260"/>
      <c r="AQ52" s="1274" t="s">
        <v>555</v>
      </c>
      <c r="AS52" s="516"/>
      <c r="AT52" s="516" t="str">
        <f>IF(V52="","",V52)</f>
        <v>Источник тепловой энергии  </v>
      </c>
      <c r="AU52" s="516"/>
      <c r="AV52" s="516"/>
      <c r="AW52" s="1171">
        <v>21</v>
      </c>
    </row>
    <row s="1658" customFormat="1" customHeight="1" ht="0">
      <c r="A53" s="1391" t="s">
        <v>237</v>
      </c>
      <c r="B53" s="1391" t="s">
        <v>238</v>
      </c>
      <c r="C53" s="1391" t="s">
        <v>239</v>
      </c>
      <c r="D53" s="1391" t="s">
        <v>240</v>
      </c>
      <c r="E53" s="2306"/>
      <c r="F53" s="2306"/>
      <c r="G53" s="2306"/>
      <c r="H53" s="2327"/>
      <c r="I53" s="2143" t="str">
        <f>U52&amp;".1"</f>
        <v>....1</v>
      </c>
      <c r="J53" s="1391"/>
      <c r="K53" s="1391"/>
      <c r="L53" s="1391"/>
      <c r="M53" s="1397" t="s">
        <v>556</v>
      </c>
      <c r="N53" s="1262"/>
      <c r="O53" s="1262"/>
      <c r="P53" s="1262"/>
      <c r="Q53" s="2273">
        <v>1</v>
      </c>
      <c r="R53" s="1347"/>
      <c r="S53" s="1347"/>
      <c r="T53" s="372"/>
      <c r="U53" s="1058"/>
      <c r="V53" s="1399"/>
      <c r="W53" s="1400"/>
      <c r="X53" s="2312"/>
      <c r="Y53" s="2313"/>
      <c r="Z53" s="2313"/>
      <c r="AA53" s="2313"/>
      <c r="AB53" s="2313"/>
      <c r="AC53" s="2313"/>
      <c r="AD53" s="2313"/>
      <c r="AE53" s="2313"/>
      <c r="AF53" s="2314"/>
      <c r="AG53" s="2312"/>
      <c r="AH53" s="2313"/>
      <c r="AI53" s="2313"/>
      <c r="AJ53" s="2313"/>
      <c r="AK53" s="2313"/>
      <c r="AL53" s="2313"/>
      <c r="AM53" s="2313"/>
      <c r="AN53" s="2313"/>
      <c r="AO53" s="2313"/>
      <c r="AP53" s="2314"/>
      <c r="AQ53" s="1401"/>
      <c r="AS53" s="516"/>
      <c r="AT53" s="516" t="str">
        <f>IF(V53="","",V53)</f>
        <v/>
      </c>
      <c r="AU53" s="516"/>
      <c r="AV53" s="516"/>
      <c r="AW53" s="527">
        <v>0</v>
      </c>
    </row>
    <row customHeight="1" ht="22.049999999999997">
      <c r="A54" s="1283" t="s">
        <v>237</v>
      </c>
      <c r="B54" s="1283" t="s">
        <v>238</v>
      </c>
      <c r="C54" s="1283" t="s">
        <v>239</v>
      </c>
      <c r="D54" s="1283" t="s">
        <v>240</v>
      </c>
      <c r="E54" s="2306"/>
      <c r="F54" s="2306"/>
      <c r="G54" s="2306"/>
      <c r="H54" s="2327"/>
      <c r="I54" s="2117"/>
      <c r="J54" s="2143" t="str">
        <f>I53&amp;".1"</f>
        <v>....1.1</v>
      </c>
      <c r="K54" s="1283"/>
      <c r="L54" s="1283"/>
      <c r="M54" s="1326" t="s">
        <v>559</v>
      </c>
      <c r="Q54" s="2273"/>
      <c r="R54" s="2273">
        <v>1</v>
      </c>
      <c r="S54" s="534"/>
      <c r="T54" s="373"/>
      <c r="U54" s="1352" t="str">
        <f>$J54</f>
        <v>....1.1</v>
      </c>
      <c r="V54" s="302" t="s">
        <v>560</v>
      </c>
      <c r="W54" s="316"/>
      <c r="X54" s="2261"/>
      <c r="Y54" s="2262"/>
      <c r="Z54" s="2262"/>
      <c r="AA54" s="2262"/>
      <c r="AB54" s="2262"/>
      <c r="AC54" s="2251"/>
      <c r="AD54" s="2251"/>
      <c r="AE54" s="2251"/>
      <c r="AF54" s="2324"/>
      <c r="AG54" s="2261"/>
      <c r="AH54" s="2262"/>
      <c r="AI54" s="2262"/>
      <c r="AJ54" s="2262"/>
      <c r="AK54" s="2262"/>
      <c r="AL54" s="2262"/>
      <c r="AM54" s="2262"/>
      <c r="AN54" s="2262"/>
      <c r="AO54" s="2262"/>
      <c r="AP54" s="2263"/>
      <c r="AQ54" s="1274" t="s">
        <v>561</v>
      </c>
      <c r="AS54" s="516"/>
      <c r="AT54" s="516" t="str">
        <f>IF(V54="","",V54)</f>
        <v>Группа потребителей</v>
      </c>
      <c r="AU54" s="516"/>
      <c r="AV54" s="516"/>
      <c r="AW54" s="1171">
        <v>21</v>
      </c>
    </row>
    <row customHeight="1" ht="22.049999999999997">
      <c r="A55" s="1283" t="s">
        <v>237</v>
      </c>
      <c r="B55" s="1283" t="s">
        <v>238</v>
      </c>
      <c r="C55" s="1283" t="s">
        <v>239</v>
      </c>
      <c r="D55" s="1283" t="s">
        <v>240</v>
      </c>
      <c r="E55" s="2306"/>
      <c r="F55" s="2306"/>
      <c r="G55" s="2306"/>
      <c r="H55" s="2327"/>
      <c r="I55" s="2117"/>
      <c r="J55" s="2117"/>
      <c r="K55" s="2143" t="str">
        <f>J54&amp;".1"</f>
        <v>....1.1.1</v>
      </c>
      <c r="L55" s="155"/>
      <c r="M55" s="1326" t="s">
        <v>562</v>
      </c>
      <c r="Q55" s="2273"/>
      <c r="R55" s="2273"/>
      <c r="S55" s="534">
        <v>1</v>
      </c>
      <c r="T55" s="373"/>
      <c r="U55" s="1352" t="str">
        <f>$K55</f>
        <v>....1.1.1</v>
      </c>
      <c r="V55" s="1363"/>
      <c r="W55" s="316"/>
      <c r="X55" s="767"/>
      <c r="Y55" s="767"/>
      <c r="Z55" s="767"/>
      <c r="AA55" s="767"/>
      <c r="AB55" s="1421"/>
      <c r="AC55" s="2281"/>
      <c r="AD55" s="2123" t="s">
        <v>64</v>
      </c>
      <c r="AE55" s="2281"/>
      <c r="AF55" s="2123" t="s">
        <v>64</v>
      </c>
      <c r="AG55" s="1423"/>
      <c r="AH55" s="767"/>
      <c r="AI55" s="767"/>
      <c r="AJ55" s="767"/>
      <c r="AK55" s="1273"/>
      <c r="AL55" s="2281"/>
      <c r="AM55" s="2123" t="s">
        <v>64</v>
      </c>
      <c r="AN55" s="2281"/>
      <c r="AO55" s="2123" t="s">
        <v>64</v>
      </c>
      <c r="AP55" s="1364"/>
      <c r="AQ55" s="1323" t="s">
        <v>601</v>
      </c>
      <c r="AR55" s="527">
        <f>STRCHECKDATE(X57:AP57)</f>
      </c>
      <c r="AS55" s="516"/>
      <c r="AT55" s="516" t="str">
        <f>IF(V55="","",V55)</f>
        <v/>
      </c>
      <c r="AU55" s="516"/>
      <c r="AV55" s="516"/>
      <c r="AW55" s="1171">
        <v>21</v>
      </c>
    </row>
    <row customHeight="1" ht="11.549999999999999">
      <c r="A56" s="1283" t="s">
        <v>237</v>
      </c>
      <c r="B56" s="1283" t="s">
        <v>238</v>
      </c>
      <c r="C56" s="1283" t="s">
        <v>239</v>
      </c>
      <c r="D56" s="1283" t="s">
        <v>240</v>
      </c>
      <c r="E56" s="2306"/>
      <c r="F56" s="2306"/>
      <c r="G56" s="2306"/>
      <c r="H56" s="2327"/>
      <c r="I56" s="2117"/>
      <c r="J56" s="2117"/>
      <c r="K56" s="2117"/>
      <c r="L56" s="2143" t="str">
        <f>K55&amp;".1"</f>
        <v>....1.1.1.1</v>
      </c>
      <c r="M56" s="1326"/>
      <c r="Q56" s="2273"/>
      <c r="R56" s="2273"/>
      <c r="S56" s="534">
        <v>1</v>
      </c>
      <c r="T56" s="373"/>
      <c r="U56" s="1352" t="str">
        <f>$L56</f>
        <v>....1.1.1.1</v>
      </c>
      <c r="V56" s="1407"/>
      <c r="W56" s="316"/>
      <c r="X56" s="341"/>
      <c r="Y56" s="767"/>
      <c r="Z56" s="767"/>
      <c r="AA56" s="767"/>
      <c r="AB56" s="1421"/>
      <c r="AC56" s="2325"/>
      <c r="AD56" s="2123"/>
      <c r="AE56" s="2325"/>
      <c r="AF56" s="2123"/>
      <c r="AG56" s="1423"/>
      <c r="AH56" s="767"/>
      <c r="AI56" s="767"/>
      <c r="AJ56" s="767"/>
      <c r="AK56" s="1273"/>
      <c r="AL56" s="2325"/>
      <c r="AM56" s="2123"/>
      <c r="AN56" s="2325"/>
      <c r="AO56" s="2123"/>
      <c r="AP56" s="1364"/>
      <c r="AQ56" s="2269" t="s">
        <v>602</v>
      </c>
      <c r="AR56" s="527">
        <f>STRCHECKDATE(X58:AP58)</f>
      </c>
      <c r="AS56" s="516"/>
      <c r="AT56" s="516" t="str">
        <f>IF(V56="","",V56)</f>
        <v/>
      </c>
      <c r="AU56" s="516"/>
      <c r="AV56" s="516"/>
      <c r="AW56" s="1171">
        <v>11</v>
      </c>
    </row>
    <row customHeight="1" ht="0">
      <c r="A57" s="1283" t="s">
        <v>237</v>
      </c>
      <c r="B57" s="1283" t="s">
        <v>238</v>
      </c>
      <c r="C57" s="1283" t="s">
        <v>239</v>
      </c>
      <c r="D57" s="1283" t="s">
        <v>240</v>
      </c>
      <c r="E57" s="2306"/>
      <c r="F57" s="2306"/>
      <c r="G57" s="2306"/>
      <c r="H57" s="2327"/>
      <c r="I57" s="2117"/>
      <c r="J57" s="2117"/>
      <c r="K57" s="2117"/>
      <c r="L57" s="2143"/>
      <c r="M57" s="1326"/>
      <c r="Q57" s="2273"/>
      <c r="R57" s="2273"/>
      <c r="S57" s="534"/>
      <c r="T57" s="373"/>
      <c r="U57" s="1358"/>
      <c r="V57" s="316"/>
      <c r="W57" s="316"/>
      <c r="X57" s="341"/>
      <c r="Y57" s="341"/>
      <c r="Z57" s="341"/>
      <c r="AA57" s="341"/>
      <c r="AB57" s="1422" t="str">
        <f>AC55&amp;"-"&amp;AE55</f>
        <v>-</v>
      </c>
      <c r="AC57" s="2325"/>
      <c r="AD57" s="2123"/>
      <c r="AE57" s="2325"/>
      <c r="AF57" s="2123"/>
      <c r="AG57" s="1398"/>
      <c r="AH57" s="341"/>
      <c r="AI57" s="341"/>
      <c r="AJ57" s="341"/>
      <c r="AK57" s="344" t="str">
        <f>AL55&amp;"-"&amp;AN55</f>
        <v>-</v>
      </c>
      <c r="AL57" s="2325"/>
      <c r="AM57" s="2123"/>
      <c r="AN57" s="2325"/>
      <c r="AO57" s="2123"/>
      <c r="AP57" s="1365"/>
      <c r="AQ57" s="2270"/>
      <c r="AS57" s="516"/>
      <c r="AT57" s="516" t="str">
        <f>IF(V57="","",V57)</f>
        <v/>
      </c>
      <c r="AU57" s="516"/>
      <c r="AV57" s="516"/>
      <c r="AW57" s="1171">
        <v>0</v>
      </c>
    </row>
    <row customHeight="1" ht="11.549999999999999">
      <c r="A58" s="1283" t="s">
        <v>237</v>
      </c>
      <c r="B58" s="1283" t="s">
        <v>238</v>
      </c>
      <c r="C58" s="1283" t="s">
        <v>239</v>
      </c>
      <c r="D58" s="1283" t="s">
        <v>240</v>
      </c>
      <c r="E58" s="2306"/>
      <c r="F58" s="2306"/>
      <c r="G58" s="2306"/>
      <c r="H58" s="2327"/>
      <c r="I58" s="2117"/>
      <c r="J58" s="2117"/>
      <c r="K58" s="2143"/>
      <c r="L58" s="1283"/>
      <c r="M58" s="1326"/>
      <c r="Q58" s="2273"/>
      <c r="R58" s="2273"/>
      <c r="S58" s="1347"/>
      <c r="T58" s="372"/>
      <c r="U58" s="1294"/>
      <c r="V58" s="304" t="s">
        <v>603</v>
      </c>
      <c r="W58" s="383"/>
      <c r="X58" s="383"/>
      <c r="Y58" s="383"/>
      <c r="Z58" s="383"/>
      <c r="AA58" s="383"/>
      <c r="AB58" s="383"/>
      <c r="AC58" s="2325"/>
      <c r="AD58" s="2123"/>
      <c r="AE58" s="2325"/>
      <c r="AF58" s="2123"/>
      <c r="AG58" s="383"/>
      <c r="AH58" s="383"/>
      <c r="AI58" s="383"/>
      <c r="AJ58" s="383"/>
      <c r="AK58" s="383"/>
      <c r="AL58" s="2325"/>
      <c r="AM58" s="2123"/>
      <c r="AN58" s="2325"/>
      <c r="AO58" s="2123"/>
      <c r="AP58" s="340"/>
      <c r="AQ58" s="2270"/>
      <c r="AS58" s="516"/>
      <c r="AT58" s="516" t="str">
        <f>IF(V58="","",V58)</f>
        <v>Добавить наименование поставщика</v>
      </c>
      <c r="AU58" s="516"/>
      <c r="AV58" s="516"/>
      <c r="AW58" s="1171">
        <v>11</v>
      </c>
    </row>
    <row customHeight="1" ht="11.549999999999999">
      <c r="A59" s="1283" t="s">
        <v>237</v>
      </c>
      <c r="B59" s="1283" t="s">
        <v>238</v>
      </c>
      <c r="C59" s="1283" t="s">
        <v>239</v>
      </c>
      <c r="D59" s="1283" t="s">
        <v>240</v>
      </c>
      <c r="E59" s="2306"/>
      <c r="F59" s="2306"/>
      <c r="G59" s="2306"/>
      <c r="H59" s="2327"/>
      <c r="I59" s="2117"/>
      <c r="J59" s="2143"/>
      <c r="K59" s="1283"/>
      <c r="L59" s="1283"/>
      <c r="M59" s="1326"/>
      <c r="Q59" s="2273"/>
      <c r="R59" s="2273"/>
      <c r="S59" s="1347"/>
      <c r="T59" s="372"/>
      <c r="U59" s="1294"/>
      <c r="V59" s="303" t="s">
        <v>564</v>
      </c>
      <c r="W59" s="383"/>
      <c r="X59" s="383"/>
      <c r="Y59" s="383"/>
      <c r="Z59" s="383"/>
      <c r="AA59" s="383"/>
      <c r="AB59" s="383"/>
      <c r="AC59" s="1424"/>
      <c r="AD59" s="1424"/>
      <c r="AE59" s="1424"/>
      <c r="AF59" s="1424"/>
      <c r="AG59" s="383"/>
      <c r="AH59" s="383"/>
      <c r="AI59" s="383"/>
      <c r="AJ59" s="383"/>
      <c r="AK59" s="383"/>
      <c r="AL59" s="383"/>
      <c r="AM59" s="383"/>
      <c r="AN59" s="383"/>
      <c r="AO59" s="383"/>
      <c r="AP59" s="340"/>
      <c r="AQ59" s="2271"/>
      <c r="AS59" s="516"/>
      <c r="AT59" s="516" t="str">
        <f>IF(V59="","",V59)</f>
        <v>Добавить вид теплоносителя (параметры теплоносителя)</v>
      </c>
      <c r="AU59" s="516"/>
      <c r="AV59" s="516"/>
      <c r="AW59" s="1171">
        <v>11</v>
      </c>
    </row>
    <row customHeight="1" ht="11.549999999999999">
      <c r="A60" s="1283" t="s">
        <v>237</v>
      </c>
      <c r="B60" s="1283" t="s">
        <v>238</v>
      </c>
      <c r="C60" s="1283" t="s">
        <v>239</v>
      </c>
      <c r="D60" s="1283" t="s">
        <v>240</v>
      </c>
      <c r="E60" s="2306"/>
      <c r="F60" s="2306"/>
      <c r="G60" s="2306"/>
      <c r="H60" s="2327"/>
      <c r="I60" s="2143"/>
      <c r="J60" s="1283"/>
      <c r="K60" s="1283"/>
      <c r="L60" s="1283"/>
      <c r="M60" s="1326"/>
      <c r="Q60" s="2273"/>
      <c r="R60" s="1347"/>
      <c r="S60" s="1347"/>
      <c r="T60" s="372"/>
      <c r="U60" s="1294"/>
      <c r="V60" s="381" t="s">
        <v>565</v>
      </c>
      <c r="W60" s="383"/>
      <c r="X60" s="383"/>
      <c r="Y60" s="383"/>
      <c r="Z60" s="383"/>
      <c r="AA60" s="383"/>
      <c r="AB60" s="383"/>
      <c r="AC60" s="383"/>
      <c r="AD60" s="383"/>
      <c r="AE60" s="383"/>
      <c r="AF60" s="382"/>
      <c r="AG60" s="383"/>
      <c r="AH60" s="383"/>
      <c r="AI60" s="383"/>
      <c r="AJ60" s="383"/>
      <c r="AK60" s="383"/>
      <c r="AL60" s="383"/>
      <c r="AM60" s="383"/>
      <c r="AN60" s="383"/>
      <c r="AO60" s="382"/>
      <c r="AP60" s="383"/>
      <c r="AQ60" s="319"/>
      <c r="AS60" s="516"/>
      <c r="AT60" s="516" t="str">
        <f>IF(V60="","",V60)</f>
        <v>Добавить группу потребителей</v>
      </c>
      <c r="AU60" s="516"/>
      <c r="AV60" s="516"/>
      <c r="AW60" s="1171">
        <v>11</v>
      </c>
    </row>
    <row customHeight="1" ht="0">
      <c r="A61" s="1283" t="s">
        <v>237</v>
      </c>
      <c r="B61" s="1283" t="s">
        <v>238</v>
      </c>
      <c r="C61" s="1283" t="s">
        <v>239</v>
      </c>
      <c r="D61" s="1283" t="s">
        <v>240</v>
      </c>
      <c r="E61" s="2306"/>
      <c r="F61" s="2306"/>
      <c r="G61" s="2306"/>
      <c r="H61" s="2326"/>
      <c r="I61" s="1283"/>
      <c r="J61" s="1283"/>
      <c r="K61" s="1283"/>
      <c r="L61" s="1283"/>
      <c r="M61" s="1326"/>
      <c r="N61" s="704"/>
      <c r="O61" s="704"/>
      <c r="P61" s="525"/>
      <c r="Q61" s="376"/>
      <c r="R61" s="391"/>
      <c r="S61" s="371"/>
      <c r="T61" s="376"/>
      <c r="U61" s="1402"/>
      <c r="V61" s="1403"/>
      <c r="W61" s="1404"/>
      <c r="X61" s="1404"/>
      <c r="Y61" s="1404"/>
      <c r="Z61" s="1404"/>
      <c r="AA61" s="1404"/>
      <c r="AB61" s="1404"/>
      <c r="AC61" s="1404"/>
      <c r="AD61" s="1404"/>
      <c r="AE61" s="1404"/>
      <c r="AF61" s="1404"/>
      <c r="AG61" s="1404"/>
      <c r="AH61" s="1404"/>
      <c r="AI61" s="1404"/>
      <c r="AJ61" s="1404"/>
      <c r="AK61" s="1404"/>
      <c r="AL61" s="1404"/>
      <c r="AM61" s="1404"/>
      <c r="AN61" s="1404"/>
      <c r="AO61" s="1404"/>
      <c r="AP61" s="1404"/>
      <c r="AQ61" s="1405"/>
      <c r="AS61" s="516"/>
      <c r="AT61" s="516" t="str">
        <f>IF(V61="","",V61)</f>
        <v/>
      </c>
      <c r="AU61" s="516"/>
      <c r="AV61" s="516"/>
      <c r="AW61" s="1171">
        <v>0</v>
      </c>
    </row>
    <row s="1658" customFormat="1" customHeight="1" ht="0">
      <c r="A62" s="1391" t="s">
        <v>237</v>
      </c>
      <c r="B62" s="1391" t="s">
        <v>238</v>
      </c>
      <c r="C62" s="1391" t="s">
        <v>239</v>
      </c>
      <c r="D62" s="1390"/>
      <c r="E62" s="2306"/>
      <c r="F62" s="2306"/>
      <c r="G62" s="2305"/>
      <c r="H62" s="1390"/>
      <c r="I62" s="1390"/>
      <c r="J62" s="1390"/>
      <c r="K62" s="1390"/>
      <c r="L62" s="1390"/>
      <c r="M62" s="1393"/>
      <c r="N62" s="1394"/>
      <c r="O62" s="1394"/>
      <c r="P62" s="367"/>
      <c r="Q62" s="1332"/>
      <c r="R62" s="1333"/>
      <c r="S62" s="1332"/>
      <c r="T62" s="1332"/>
      <c r="U62" s="1338"/>
      <c r="V62" s="1341" t="s">
        <v>268</v>
      </c>
      <c r="W62" s="1340"/>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S62" s="805"/>
      <c r="AT62" s="805" t="str">
        <f>IF(V62="","",V62)</f>
        <v>Добавить источник для дифференциации</v>
      </c>
      <c r="AU62" s="805"/>
      <c r="AV62" s="805"/>
      <c r="AW62" s="534">
        <v>0</v>
      </c>
    </row>
    <row s="1658" customFormat="1" customHeight="1" ht="0">
      <c r="A63" s="1391" t="s">
        <v>237</v>
      </c>
      <c r="B63" s="1391" t="s">
        <v>238</v>
      </c>
      <c r="C63" s="1390"/>
      <c r="D63" s="1390"/>
      <c r="E63" s="2306"/>
      <c r="F63" s="2305"/>
      <c r="G63" s="1390"/>
      <c r="H63" s="1390"/>
      <c r="I63" s="1390"/>
      <c r="J63" s="1390"/>
      <c r="K63" s="1390"/>
      <c r="L63" s="1390"/>
      <c r="M63" s="1393"/>
      <c r="N63" s="1395"/>
      <c r="O63" s="1395"/>
      <c r="P63" s="367"/>
      <c r="Q63" s="1332"/>
      <c r="R63" s="1333"/>
      <c r="S63" s="1332"/>
      <c r="T63" s="1332"/>
      <c r="U63" s="1338"/>
      <c r="V63" s="1341" t="s">
        <v>269</v>
      </c>
      <c r="W63" s="1340"/>
      <c r="X63" s="1340"/>
      <c r="Y63" s="1340"/>
      <c r="Z63" s="1340"/>
      <c r="AA63" s="1340"/>
      <c r="AB63" s="1340"/>
      <c r="AC63" s="1340"/>
      <c r="AD63" s="1340"/>
      <c r="AE63" s="1340"/>
      <c r="AF63" s="1340"/>
      <c r="AG63" s="1340"/>
      <c r="AH63" s="1340"/>
      <c r="AI63" s="1340"/>
      <c r="AJ63" s="1340"/>
      <c r="AK63" s="1340"/>
      <c r="AL63" s="1340"/>
      <c r="AM63" s="1340"/>
      <c r="AN63" s="1340"/>
      <c r="AO63" s="1340"/>
      <c r="AP63" s="1340"/>
      <c r="AQ63" s="1340"/>
      <c r="AS63" s="805"/>
      <c r="AT63" s="805" t="str">
        <f>IF(V63="","",V63)</f>
        <v>Добавить централизованную систему для дифференциации</v>
      </c>
      <c r="AU63" s="805"/>
      <c r="AV63" s="805"/>
      <c r="AW63" s="534">
        <v>0</v>
      </c>
    </row>
    <row s="1658" customFormat="1" customHeight="1" ht="0">
      <c r="A64" s="1391" t="s">
        <v>237</v>
      </c>
      <c r="B64" s="1391"/>
      <c r="C64" s="1391"/>
      <c r="D64" s="1391"/>
      <c r="E64" s="2305"/>
      <c r="F64" s="1391"/>
      <c r="G64" s="1391"/>
      <c r="H64" s="1391"/>
      <c r="I64" s="1391"/>
      <c r="J64" s="1391"/>
      <c r="K64" s="1391"/>
      <c r="L64" s="1391"/>
      <c r="M64" s="1397"/>
      <c r="N64" s="1395"/>
      <c r="O64" s="1395"/>
      <c r="P64" s="367"/>
      <c r="Q64" s="396"/>
      <c r="R64" s="1360"/>
      <c r="S64" s="396"/>
      <c r="T64" s="396"/>
      <c r="U64" s="1338"/>
      <c r="V64" s="1341" t="s">
        <v>330</v>
      </c>
      <c r="W64" s="1340"/>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S64" s="516"/>
      <c r="AT64" s="516" t="str">
        <f>IF(V64="","",V64)</f>
        <v>Добавить территорию для дифференциации</v>
      </c>
      <c r="AU64" s="516"/>
      <c r="AV64" s="516"/>
      <c r="AW64" s="527">
        <v>0</v>
      </c>
    </row>
    <row s="1658" customFormat="1" customHeight="1" ht="4.2">
      <c r="A65" s="1390"/>
      <c r="B65" s="1390"/>
      <c r="C65" s="1390"/>
      <c r="D65" s="1390"/>
      <c r="E65" s="1391"/>
      <c r="F65" s="1390"/>
      <c r="G65" s="1390"/>
      <c r="H65" s="1390"/>
      <c r="I65" s="1390"/>
      <c r="J65" s="1390"/>
      <c r="K65" s="1390"/>
      <c r="L65" s="1390"/>
      <c r="M65" s="1393"/>
      <c r="N65" s="1395"/>
      <c r="O65" s="1395"/>
      <c r="P65" s="367"/>
      <c r="Q65" s="1332"/>
      <c r="R65" s="1333"/>
      <c r="S65" s="1332"/>
      <c r="T65" s="1332"/>
      <c r="U65" s="1338"/>
      <c r="V65" s="1341" t="s">
        <v>356</v>
      </c>
      <c r="W65" s="1340"/>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S65" s="805"/>
      <c r="AT65" s="805" t="str">
        <f>IF(V65="","",V65)</f>
        <v>Добавить наименование тарифа</v>
      </c>
      <c r="AU65" s="805"/>
      <c r="AV65" s="805"/>
      <c r="AW65" s="534">
        <v>4</v>
      </c>
    </row>
    <row customHeight="1" ht="11.549999999999999">
      <c r="N66" s="1171"/>
      <c r="O66" s="1171"/>
      <c r="P66" s="525"/>
      <c r="Q66" s="1171"/>
      <c r="R66" s="1171"/>
      <c r="S66" s="1171"/>
      <c r="T66" s="1171"/>
      <c r="U66" s="1171"/>
      <c r="AR66" s="1171"/>
      <c r="AS66" s="1171"/>
      <c r="AT66" s="1171"/>
      <c r="AU66" s="1171"/>
      <c r="AV66" s="1171"/>
      <c r="AW66" s="1171">
        <v>11</v>
      </c>
    </row>
    <row customHeight="1" ht="35.699999999999996">
      <c r="P67" s="525"/>
      <c r="U67" s="1269"/>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W67" s="1171">
        <v>34</v>
      </c>
    </row>
    <row customHeight="1" ht="21">
      <c r="P68" s="525"/>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W68" s="1171">
        <v>20</v>
      </c>
    </row>
    <row customHeight="1" ht="14.699999999999998">
      <c r="P69" s="525"/>
      <c r="AW69" s="1171">
        <v>14</v>
      </c>
    </row>
    <row customHeight="1" ht="28.5">
      <c r="P70" s="525"/>
      <c r="V70" s="2301"/>
      <c r="W70" s="2301"/>
      <c r="X70" s="2301"/>
      <c r="Y70" s="2301"/>
      <c r="Z70" s="2301"/>
      <c r="AA70" s="2301"/>
      <c r="AB70" s="2301"/>
      <c r="AC70" s="2301"/>
      <c r="AD70" s="2301"/>
      <c r="AE70" s="2301"/>
      <c r="AF70" s="2301"/>
      <c r="AG70" s="2301"/>
      <c r="AH70" s="2301"/>
      <c r="AI70" s="2301"/>
      <c r="AJ70" s="2301"/>
      <c r="AK70" s="2301"/>
      <c r="AL70" s="2301"/>
      <c r="AM70" s="2301"/>
      <c r="AN70" s="2301"/>
      <c r="AO70" s="2301"/>
      <c r="AP70" s="2301"/>
      <c r="AQ70" s="2301"/>
      <c r="AW70" s="1171">
        <v>27</v>
      </c>
    </row>
    <row customHeight="1" ht="18.75">
      <c r="P71" s="525"/>
      <c r="V71" s="2301"/>
      <c r="W71" s="2301"/>
      <c r="X71" s="2301"/>
      <c r="Y71" s="2301"/>
      <c r="Z71" s="2301"/>
      <c r="AA71" s="2301"/>
      <c r="AB71" s="2301"/>
      <c r="AC71" s="2301"/>
      <c r="AD71" s="2301"/>
      <c r="AE71" s="2301"/>
      <c r="AF71" s="2301"/>
      <c r="AG71" s="2301"/>
      <c r="AH71" s="2301"/>
      <c r="AI71" s="2301"/>
      <c r="AJ71" s="2301"/>
      <c r="AK71" s="2301"/>
      <c r="AL71" s="2301"/>
      <c r="AM71" s="2301"/>
      <c r="AN71" s="2301"/>
      <c r="AO71" s="2301"/>
      <c r="AP71" s="2301"/>
      <c r="AQ71" s="2301"/>
      <c r="AW71" s="1171">
        <v>18</v>
      </c>
    </row>
    <row customHeight="1" ht="22.5" hidden="1">
      <c r="A72" s="1171" t="s">
        <v>85</v>
      </c>
      <c r="B72" s="1171">
        <v>0</v>
      </c>
      <c r="C72" s="1171">
        <v>0</v>
      </c>
      <c r="D72" s="1171">
        <v>0</v>
      </c>
      <c r="E72" s="1171">
        <v>0</v>
      </c>
      <c r="F72" s="1171">
        <v>0</v>
      </c>
      <c r="G72" s="1171">
        <v>0</v>
      </c>
      <c r="H72" s="1171">
        <v>0</v>
      </c>
      <c r="I72" s="1171">
        <v>0</v>
      </c>
      <c r="J72" s="1171">
        <v>0</v>
      </c>
      <c r="K72" s="1171">
        <v>0</v>
      </c>
      <c r="L72" s="1171">
        <v>0</v>
      </c>
      <c r="M72" s="1343">
        <v>0</v>
      </c>
      <c r="N72" s="1344">
        <v>0</v>
      </c>
      <c r="O72" s="1344">
        <v>0</v>
      </c>
      <c r="P72" s="1344">
        <v>0</v>
      </c>
      <c r="Q72" s="1344">
        <v>0</v>
      </c>
      <c r="R72" s="360">
        <v>3</v>
      </c>
      <c r="S72" s="360">
        <v>3</v>
      </c>
      <c r="T72" s="360">
        <v>3</v>
      </c>
      <c r="U72" s="597">
        <v>12</v>
      </c>
      <c r="V72" s="1171">
        <v>31</v>
      </c>
      <c r="W72" s="1171">
        <v>0</v>
      </c>
      <c r="X72" s="1171">
        <v>0</v>
      </c>
      <c r="Y72" s="1171">
        <v>0</v>
      </c>
      <c r="Z72" s="1171">
        <v>0</v>
      </c>
      <c r="AA72" s="1171">
        <v>0</v>
      </c>
      <c r="AB72" s="1171">
        <v>0</v>
      </c>
      <c r="AC72" s="1171">
        <v>0</v>
      </c>
      <c r="AD72" s="1171">
        <v>0</v>
      </c>
      <c r="AE72" s="1171">
        <v>0</v>
      </c>
      <c r="AF72" s="1171">
        <v>0</v>
      </c>
      <c r="AG72" s="1171">
        <v>21</v>
      </c>
      <c r="AH72" s="1171">
        <v>21</v>
      </c>
      <c r="AI72" s="1171">
        <v>21</v>
      </c>
      <c r="AJ72" s="1171">
        <v>21</v>
      </c>
      <c r="AK72" s="1171">
        <v>21</v>
      </c>
      <c r="AL72" s="1171">
        <v>11</v>
      </c>
      <c r="AM72" s="1171">
        <v>3</v>
      </c>
      <c r="AN72" s="1171">
        <v>11</v>
      </c>
      <c r="AO72" s="1171">
        <v>8</v>
      </c>
      <c r="AP72" s="1171">
        <v>4</v>
      </c>
      <c r="AQ72" s="1171">
        <v>115</v>
      </c>
      <c r="AR72" s="527">
        <v>10</v>
      </c>
      <c r="AS72" s="527">
        <v>10</v>
      </c>
      <c r="AT72" s="527">
        <v>10</v>
      </c>
      <c r="AU72" s="527">
        <v>10</v>
      </c>
      <c r="AV72" s="527">
        <v>10</v>
      </c>
      <c r="AW72" s="117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890F68-1054-CCAA-840F-8F29E8E74048}" mc:Ignorable="x14ac xr xr2 xr3">
  <sheetPr>
    <tabColor rgb="FFCCCCFF"/>
  </sheetPr>
  <dimension ref="A1:Q79"/>
  <sheetViews>
    <sheetView topLeftCell="C37" showGridLines="0" zoomScale="90" workbookViewId="0">
      <selection activeCell="F28" sqref="F28"/>
    </sheetView>
  </sheetViews>
  <sheetFormatPr defaultColWidth="9.140625" customHeight="1" defaultRowHeight="11.25"/>
  <cols>
    <col min="1" max="1" style="803" width="10.7109375" hidden="1" customWidth="1"/>
    <col min="2" max="2" style="748" width="10.7109375" hidden="1" customWidth="1"/>
    <col min="3" max="3" style="546" width="3.00390625" customWidth="1"/>
    <col min="4" max="4" style="1651" width="1.00390625" customWidth="1"/>
    <col min="5" max="6" style="1651" width="55.00390625" customWidth="1"/>
    <col min="7" max="7" style="2141" width="1.00390625" customWidth="1"/>
    <col min="8" max="8" style="1651" width="18.00390625" hidden="1" customWidth="1"/>
    <col min="9" max="9" style="547" width="59.00390625" customWidth="1"/>
    <col min="10" max="10" style="1382" width="52.140625" hidden="1" customWidth="1"/>
    <col min="11" max="11" style="1651" width="8.00390625" customWidth="1"/>
    <col min="12" max="12" style="1651" width="77.00390625" customWidth="1"/>
    <col min="13" max="16" style="1651" width="8.00390625" customWidth="1"/>
    <col min="17" max="17" style="1651" width="12.00390625" hidden="1" customWidth="1"/>
  </cols>
  <sheetData>
    <row s="638" customFormat="1" customHeight="1" ht="3">
      <c r="A1" s="799"/>
      <c r="B1" s="257"/>
      <c r="F1" s="258" t="s">
        <v>13</v>
      </c>
      <c r="G1" s="427"/>
      <c r="H1" s="87"/>
      <c r="I1" s="427"/>
      <c r="J1" s="887"/>
      <c r="Q1" s="258" t="s">
        <v>14</v>
      </c>
    </row>
    <row s="1648" customFormat="1" customHeight="1" ht="14.25">
      <c r="A2" s="799"/>
      <c r="B2" s="114"/>
      <c r="E2" s="1756" t="str">
        <f>code</f>
        <v>Код отчёта: PP110.OPEN.INFO.PRICE.HEAT.EIAS</v>
      </c>
      <c r="F2" s="285"/>
      <c r="G2" s="261"/>
      <c r="H2" s="261"/>
      <c r="I2" s="261"/>
      <c r="J2" s="888"/>
      <c r="K2" s="261"/>
      <c r="Q2" s="87">
        <v>14</v>
      </c>
    </row>
    <row customHeight="1" ht="14.699999999999998">
      <c r="E3" s="262" t="str">
        <f>version</f>
        <v>Версия отчёта: 1.1.1</v>
      </c>
      <c r="F3" s="285"/>
      <c r="G3" s="786"/>
      <c r="H3" s="786"/>
      <c r="I3" s="786"/>
      <c r="J3" s="889"/>
      <c r="K3" s="104"/>
      <c r="Q3" s="90">
        <v>14</v>
      </c>
    </row>
    <row s="1628" customFormat="1" customHeight="1" ht="6.3">
      <c r="A4" s="800"/>
      <c r="B4" s="248"/>
      <c r="C4" s="249"/>
      <c r="D4" s="250"/>
      <c r="E4" s="259"/>
      <c r="F4" s="260"/>
      <c r="G4" s="787"/>
      <c r="H4" s="425"/>
      <c r="I4" s="427"/>
      <c r="J4" s="890"/>
      <c r="Q4" s="252">
        <v>6</v>
      </c>
    </row>
    <row customHeight="1" ht="39.75">
      <c r="D5" s="91"/>
      <c r="E5" s="2111" t="str">
        <f>NameTemplatesInTitle</f>
        <v>Показатели, подлежащие раскрытию в сфере теплоснабжения (цены и тарифы)</v>
      </c>
      <c r="F5" s="2112"/>
      <c r="G5" s="788"/>
      <c r="J5" s="891"/>
      <c r="Q5" s="90">
        <v>38</v>
      </c>
    </row>
    <row s="1628" customFormat="1" customHeight="1" ht="6.3">
      <c r="A6" s="800"/>
      <c r="B6" s="248"/>
      <c r="C6" s="249"/>
      <c r="D6" s="250"/>
      <c r="E6" s="253"/>
      <c r="F6" s="254"/>
      <c r="G6" s="788"/>
      <c r="H6" s="425"/>
      <c r="I6" s="427"/>
      <c r="J6" s="890"/>
      <c r="Q6" s="252">
        <v>6</v>
      </c>
    </row>
    <row customHeight="1" ht="21">
      <c r="D7" s="91"/>
      <c r="E7" s="407" t="s">
        <v>15</v>
      </c>
      <c r="F7" s="231" t="s">
        <v>16</v>
      </c>
      <c r="G7" s="788"/>
      <c r="Q7" s="90">
        <v>20</v>
      </c>
    </row>
    <row s="1628" customFormat="1" customHeight="1" ht="6.3">
      <c r="A8" s="801"/>
      <c r="B8" s="248"/>
      <c r="C8" s="249"/>
      <c r="D8" s="255"/>
      <c r="E8" s="253"/>
      <c r="F8" s="256"/>
      <c r="G8" s="93"/>
      <c r="H8" s="425"/>
      <c r="I8" s="427"/>
      <c r="J8" s="893"/>
      <c r="Q8" s="252">
        <v>6</v>
      </c>
    </row>
    <row s="1651" customFormat="1" customHeight="1" ht="19.5" hidden="1">
      <c r="A9" s="800"/>
      <c r="B9" s="114"/>
      <c r="C9" s="424"/>
      <c r="D9" s="426"/>
      <c r="E9" s="1181" t="s">
        <v>17</v>
      </c>
      <c r="F9" s="1937"/>
      <c r="G9" s="788"/>
      <c r="I9" s="1916" t="str">
        <f>IF(TITLE_STRUCTURE_INFO_ROIV="","","раскрывается "&amp;INDEX(ROIV_INFO_COMMENT,MATCH(TITLE_STRUCTURE_INFO_ROIV,ROIV_INFO_LIST,0)))</f>
        <v/>
      </c>
      <c r="J9" s="892"/>
      <c r="Q9" s="425">
        <v>0</v>
      </c>
    </row>
    <row s="1628" customFormat="1" customHeight="1" ht="24" hidden="1">
      <c r="A10" s="801"/>
      <c r="B10" s="442"/>
      <c r="C10" s="443"/>
      <c r="D10" s="255"/>
      <c r="E10" s="1181" t="s">
        <v>18</v>
      </c>
      <c r="F10" s="2082" t="s">
        <v>19</v>
      </c>
      <c r="G10" s="93"/>
      <c r="H10" s="425"/>
      <c r="I10" s="427"/>
      <c r="J10" s="893"/>
      <c r="Q10" s="446">
        <v>24</v>
      </c>
    </row>
    <row customHeight="1" ht="22.5">
      <c r="A11" s="2114" t="s">
        <v>20</v>
      </c>
      <c r="D11" s="91"/>
      <c r="E11" s="1181" t="s">
        <v>21</v>
      </c>
      <c r="F11" s="2865">
        <v>45728.72219907407</v>
      </c>
      <c r="G11" s="93"/>
      <c r="H11" s="789" t="s">
        <v>22</v>
      </c>
      <c r="J11" s="892" t="s">
        <v>23</v>
      </c>
      <c r="Q11" s="90">
        <v>0</v>
      </c>
    </row>
    <row customHeight="1" ht="22.5">
      <c r="A12" s="2114"/>
      <c r="D12" s="91"/>
      <c r="E12" s="1181" t="s">
        <v>24</v>
      </c>
      <c r="F12" s="2865">
        <v>46022.722280092596</v>
      </c>
      <c r="G12" s="89"/>
      <c r="J12" s="892" t="s">
        <v>25</v>
      </c>
      <c r="Q12" s="90">
        <v>0</v>
      </c>
    </row>
    <row s="1651" customFormat="1" customHeight="1" ht="22.5" hidden="1">
      <c r="A13" s="804" t="s">
        <v>26</v>
      </c>
      <c r="B13" s="114"/>
      <c r="C13" s="424"/>
      <c r="D13" s="426"/>
      <c r="E13" s="1791" t="s">
        <v>27</v>
      </c>
      <c r="F13" s="1748" t="s">
        <v>28</v>
      </c>
      <c r="G13" s="93"/>
      <c r="H13" s="786"/>
      <c r="I13" s="427"/>
      <c r="J13" s="1792" t="s">
        <v>29</v>
      </c>
      <c r="Q13" s="425">
        <v>0</v>
      </c>
    </row>
    <row s="1651" customFormat="1" customHeight="1" ht="27" hidden="1">
      <c r="A14" s="804" t="s">
        <v>30</v>
      </c>
      <c r="B14" s="114"/>
      <c r="C14" s="424"/>
      <c r="D14" s="426"/>
      <c r="E14" s="1181" t="s">
        <v>31</v>
      </c>
      <c r="F14" s="1783"/>
      <c r="G14" s="93"/>
      <c r="H14" s="786"/>
      <c r="I14" s="427"/>
      <c r="J14" s="892" t="s">
        <v>32</v>
      </c>
      <c r="Q14" s="425">
        <v>0</v>
      </c>
    </row>
    <row s="1651" customFormat="1" customHeight="1" ht="19.5" hidden="1">
      <c r="A15" s="804" t="s">
        <v>33</v>
      </c>
      <c r="B15" s="114"/>
      <c r="C15" s="424"/>
      <c r="D15" s="426"/>
      <c r="E15" s="1181" t="s">
        <v>34</v>
      </c>
      <c r="F15" s="1783"/>
      <c r="G15" s="93"/>
      <c r="H15" s="786"/>
      <c r="I15" s="427"/>
      <c r="J15" s="892" t="s">
        <v>35</v>
      </c>
      <c r="Q15" s="425">
        <v>0</v>
      </c>
    </row>
    <row s="1628" customFormat="1" customHeight="1" ht="6.3">
      <c r="A16" s="801"/>
      <c r="B16" s="248"/>
      <c r="C16" s="249"/>
      <c r="D16" s="255"/>
      <c r="E16" s="253"/>
      <c r="F16" s="256"/>
      <c r="G16" s="93"/>
      <c r="H16" s="425"/>
      <c r="I16" s="427"/>
      <c r="J16" s="890"/>
      <c r="Q16" s="252">
        <v>6</v>
      </c>
    </row>
    <row customHeight="1" ht="21">
      <c r="D17" s="91"/>
      <c r="E17" s="407" t="s">
        <v>36</v>
      </c>
      <c r="F17" s="2592" t="s">
        <v>37</v>
      </c>
      <c r="G17" s="89"/>
      <c r="H17" s="789" t="s">
        <v>22</v>
      </c>
      <c r="Q17" s="90">
        <v>20</v>
      </c>
    </row>
    <row customHeight="1" ht="25.5">
      <c r="D18" s="91"/>
      <c r="E18" s="1791" t="s">
        <v>38</v>
      </c>
      <c r="F18" s="2865">
        <v>45910</v>
      </c>
      <c r="G18" s="89"/>
      <c r="I18" s="790"/>
      <c r="J18" s="2113" t="s">
        <v>39</v>
      </c>
      <c r="Q18" s="90">
        <v>0</v>
      </c>
    </row>
    <row customHeight="1" ht="25.5">
      <c r="D19" s="91"/>
      <c r="E19" s="118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65">
        <v>45917</v>
      </c>
      <c r="G19" s="89"/>
      <c r="I19" s="790"/>
      <c r="J19" s="2113"/>
      <c r="Q19" s="90">
        <v>0</v>
      </c>
    </row>
    <row customHeight="1" ht="22.5">
      <c r="D20" s="91"/>
      <c r="E20" s="92"/>
      <c r="F20" s="286" t="str">
        <f>"Первичное "&amp;IF(TEMPLATE_GROUP="P","установление тарифов","предложение по тарифам")</f>
        <v>Первичное установление тарифов</v>
      </c>
      <c r="G20" s="89"/>
      <c r="I20" s="410"/>
      <c r="J20" s="891" t="s">
        <v>40</v>
      </c>
      <c r="Q20" s="90">
        <v>0</v>
      </c>
    </row>
    <row customHeight="1" ht="19.5">
      <c r="D21" s="91"/>
      <c r="E21" s="407" t="str">
        <f>"Дата "&amp;IF(TEMPLATE_GROUP="P","документа","подачи заявления")&amp;" об утверждении тарифов"</f>
        <v>Дата документа об утверждении тарифов</v>
      </c>
      <c r="F21" s="2865">
        <v>45728</v>
      </c>
      <c r="G21" s="89"/>
      <c r="I21" s="791"/>
      <c r="Q21" s="90">
        <v>0</v>
      </c>
    </row>
    <row customHeight="1" ht="19.5">
      <c r="D22" s="91"/>
      <c r="E22" s="407" t="str">
        <f>"Номер "&amp;IF(TEMPLATE_GROUP="P","документа","подачи заявления")&amp;" об утверждении тарифов"</f>
        <v>Номер документа об утверждении тарифов</v>
      </c>
      <c r="F22" s="232" t="s">
        <v>41</v>
      </c>
      <c r="G22" s="89"/>
      <c r="I22" s="791"/>
      <c r="Q22" s="90">
        <v>0</v>
      </c>
    </row>
    <row customHeight="1" ht="22.5">
      <c r="D23" s="91"/>
      <c r="E23" s="407" t="s">
        <v>42</v>
      </c>
      <c r="F23" s="232" t="s">
        <v>43</v>
      </c>
      <c r="G23" s="89"/>
      <c r="Q23" s="90">
        <v>0</v>
      </c>
    </row>
    <row customHeight="1" ht="19.5">
      <c r="D24" s="91"/>
      <c r="E24" s="407" t="s">
        <v>44</v>
      </c>
      <c r="F24" s="232" t="s">
        <v>45</v>
      </c>
      <c r="G24" s="89"/>
      <c r="Q24" s="90">
        <v>0</v>
      </c>
    </row>
    <row customHeight="1" ht="22.5">
      <c r="D25" s="91"/>
      <c r="E25" s="92"/>
      <c r="F25" s="286" t="str">
        <f>"Изменение "&amp;IF(TEMPLATE_GROUP="P","тарифов","предложения по тарифам")</f>
        <v>Изменение тарифов</v>
      </c>
      <c r="G25" s="89"/>
      <c r="J25" s="891" t="s">
        <v>46</v>
      </c>
      <c r="Q25" s="90">
        <v>0</v>
      </c>
    </row>
    <row customHeight="1" ht="19.5">
      <c r="D26" s="91"/>
      <c r="E26" s="407" t="str">
        <f>"Дата "&amp;IF(TEMPLATE_GROUP="P","принятия решения","подачи заявления")&amp;" об изменении тарифов"</f>
        <v>Дата принятия решения об изменении тарифов</v>
      </c>
      <c r="F26" s="2865">
        <v>45910</v>
      </c>
      <c r="G26" s="89"/>
      <c r="Q26" s="90">
        <v>0</v>
      </c>
    </row>
    <row customHeight="1" ht="19.5">
      <c r="D27" s="91"/>
      <c r="E27" s="1181" t="str">
        <f>"Номер "&amp;IF(TEMPLATE_GROUP="P","принятия решения","заявления")&amp;" об изменении тарифов"</f>
        <v>Номер принятия решения об изменении тарифов</v>
      </c>
      <c r="F27" s="2866" t="s">
        <v>47</v>
      </c>
      <c r="G27" s="89"/>
      <c r="Q27" s="90">
        <v>0</v>
      </c>
    </row>
    <row customHeight="1" ht="24.75">
      <c r="D28" s="91"/>
      <c r="E28" s="407" t="s">
        <v>48</v>
      </c>
      <c r="F28" s="2866" t="s">
        <v>43</v>
      </c>
      <c r="G28" s="89"/>
      <c r="Q28" s="90">
        <v>0</v>
      </c>
    </row>
    <row customHeight="1" ht="19.5">
      <c r="D29" s="91"/>
      <c r="E29" s="407" t="s">
        <v>44</v>
      </c>
      <c r="F29" s="2866" t="s">
        <v>45</v>
      </c>
      <c r="G29" s="89"/>
      <c r="Q29" s="90">
        <v>0</v>
      </c>
    </row>
    <row s="1628" customFormat="1" customHeight="1" ht="6.3">
      <c r="A30" s="801"/>
      <c r="B30" s="248"/>
      <c r="C30" s="249"/>
      <c r="D30" s="255"/>
      <c r="E30" s="253"/>
      <c r="F30" s="256"/>
      <c r="G30" s="93"/>
      <c r="H30" s="425"/>
      <c r="I30" s="427"/>
      <c r="J30" s="890"/>
      <c r="Q30" s="252">
        <v>6</v>
      </c>
    </row>
    <row customHeight="1" ht="21">
      <c r="C31" s="94"/>
      <c r="D31" s="95"/>
      <c r="E31" s="407" t="str">
        <f>"Наименование "&amp;IF(TEMPLATE_GROUP="ROIV","органа тарифного регулирования","ЮЛ / ИП")</f>
        <v>Наименование ЮЛ / ИП</v>
      </c>
      <c r="F31" s="233" t="s">
        <v>49</v>
      </c>
      <c r="G31" s="792"/>
      <c r="Q31" s="90">
        <v>20</v>
      </c>
    </row>
    <row customHeight="1" ht="21" hidden="1">
      <c r="C32" s="94"/>
      <c r="D32" s="95"/>
      <c r="E32" s="408" t="s">
        <v>50</v>
      </c>
      <c r="F32" s="233"/>
      <c r="G32" s="792"/>
      <c r="Q32" s="90">
        <v>20</v>
      </c>
    </row>
    <row customHeight="1" ht="21">
      <c r="C33" s="94"/>
      <c r="D33" s="95"/>
      <c r="E33" s="407" t="s">
        <v>51</v>
      </c>
      <c r="F33" s="233" t="s">
        <v>52</v>
      </c>
      <c r="G33" s="792"/>
      <c r="Q33" s="90">
        <v>20</v>
      </c>
    </row>
    <row customHeight="1" ht="21">
      <c r="C34" s="94"/>
      <c r="D34" s="95"/>
      <c r="E34" s="407" t="s">
        <v>53</v>
      </c>
      <c r="F34" s="233" t="s">
        <v>54</v>
      </c>
      <c r="G34" s="792"/>
      <c r="H34" s="96"/>
      <c r="Q34" s="90">
        <v>20</v>
      </c>
    </row>
    <row s="1628" customFormat="1" customHeight="1" ht="11.549999999999999">
      <c r="A35" s="801"/>
      <c r="B35" s="248"/>
      <c r="C35" s="249"/>
      <c r="D35" s="255"/>
      <c r="E35" s="253"/>
      <c r="F35" s="256"/>
      <c r="G35" s="93"/>
      <c r="H35" s="425"/>
      <c r="I35" s="427"/>
      <c r="J35" s="890"/>
      <c r="Q35" s="252">
        <v>11</v>
      </c>
    </row>
    <row customHeight="1" ht="19.5">
      <c r="A36" s="895"/>
      <c r="D36" s="95"/>
      <c r="E36" s="407" t="s">
        <v>55</v>
      </c>
      <c r="F36" s="1226" t="s">
        <v>56</v>
      </c>
      <c r="G36" s="93"/>
      <c r="Q36" s="90">
        <v>0</v>
      </c>
    </row>
    <row customHeight="1" ht="21">
      <c r="A37" s="895"/>
      <c r="D37" s="95"/>
      <c r="E37" s="407" t="s">
        <v>57</v>
      </c>
      <c r="F37" s="1226" t="s">
        <v>58</v>
      </c>
      <c r="G37" s="93"/>
      <c r="Q37" s="90">
        <v>20</v>
      </c>
    </row>
    <row s="1628" customFormat="1" customHeight="1" ht="6.3">
      <c r="A38" s="801"/>
      <c r="B38" s="248"/>
      <c r="C38" s="249"/>
      <c r="D38" s="250"/>
      <c r="E38" s="251"/>
      <c r="F38" s="1069"/>
      <c r="G38" s="89"/>
      <c r="H38" s="425"/>
      <c r="I38" s="427"/>
      <c r="J38" s="892"/>
      <c r="Q38" s="252">
        <v>6</v>
      </c>
    </row>
    <row customHeight="1" ht="36.75">
      <c r="A39" s="801"/>
      <c r="D39" s="91"/>
      <c r="E39" s="407" t="s">
        <v>59</v>
      </c>
      <c r="F39" s="726" t="s">
        <v>19</v>
      </c>
      <c r="G39" s="89"/>
      <c r="H39" s="789" t="s">
        <v>22</v>
      </c>
      <c r="Q39" s="90">
        <v>35</v>
      </c>
    </row>
    <row s="1628" customFormat="1" customHeight="1" ht="6" hidden="1">
      <c r="A40" s="800"/>
      <c r="B40" s="442"/>
      <c r="C40" s="443"/>
      <c r="D40" s="444"/>
      <c r="E40" s="445"/>
      <c r="F40" s="1069"/>
      <c r="G40" s="89"/>
      <c r="H40" s="425"/>
      <c r="I40" s="427"/>
      <c r="J40" s="892"/>
      <c r="Q40" s="446">
        <v>6</v>
      </c>
    </row>
    <row s="1651" customFormat="1" customHeight="1" ht="26.25" hidden="1">
      <c r="A41" s="804" t="s">
        <v>26</v>
      </c>
      <c r="B41" s="429"/>
      <c r="C41" s="424"/>
      <c r="D41" s="426"/>
      <c r="E41" s="40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6" t="s">
        <v>19</v>
      </c>
      <c r="G41" s="89"/>
      <c r="I41" s="427"/>
      <c r="J41" s="892"/>
      <c r="Q41" s="425">
        <v>0</v>
      </c>
    </row>
    <row s="1628" customFormat="1" customHeight="1" ht="6">
      <c r="A42" s="800"/>
      <c r="B42" s="442"/>
      <c r="C42" s="443"/>
      <c r="D42" s="444"/>
      <c r="E42" s="445"/>
      <c r="F42" s="1069"/>
      <c r="G42" s="89"/>
      <c r="H42" s="425"/>
      <c r="I42" s="427"/>
      <c r="J42" s="890"/>
      <c r="Q42" s="446">
        <v>0</v>
      </c>
    </row>
    <row s="1651" customFormat="1" customHeight="1" ht="27" hidden="1">
      <c r="A43" s="800"/>
      <c r="B43" s="429"/>
      <c r="C43" s="424"/>
      <c r="D43" s="426"/>
      <c r="E43" s="407" t="s">
        <v>60</v>
      </c>
      <c r="F43" s="726" t="s">
        <v>19</v>
      </c>
      <c r="G43" s="89"/>
      <c r="I43" s="427"/>
      <c r="J43" s="892"/>
      <c r="Q43" s="425">
        <v>0</v>
      </c>
    </row>
    <row s="1651" customFormat="1" customHeight="1" ht="27" hidden="1">
      <c r="A44" s="800"/>
      <c r="B44" s="429"/>
      <c r="C44" s="424"/>
      <c r="D44" s="426"/>
      <c r="E44" s="1181" t="s">
        <v>61</v>
      </c>
      <c r="F44" s="1904"/>
      <c r="G44" s="89"/>
      <c r="I44" s="427"/>
      <c r="J44" s="892"/>
      <c r="Q44" s="425">
        <v>0</v>
      </c>
    </row>
    <row s="1628" customFormat="1" customHeight="1" ht="6">
      <c r="A45" s="800"/>
      <c r="B45" s="442"/>
      <c r="C45" s="443"/>
      <c r="D45" s="444"/>
      <c r="E45" s="445"/>
      <c r="F45" s="1069"/>
      <c r="G45" s="89"/>
      <c r="H45" s="425"/>
      <c r="I45" s="427"/>
      <c r="J45" s="892"/>
      <c r="Q45" s="446">
        <v>0</v>
      </c>
    </row>
    <row s="1628" customFormat="1" customHeight="1" ht="24.75">
      <c r="A46" s="800"/>
      <c r="B46" s="442"/>
      <c r="C46" s="443"/>
      <c r="D46" s="444"/>
      <c r="E46" s="1181" t="s">
        <v>62</v>
      </c>
      <c r="F46" s="726" t="s">
        <v>19</v>
      </c>
      <c r="G46" s="89"/>
      <c r="H46" s="425"/>
      <c r="I46" s="427"/>
      <c r="J46" s="892"/>
      <c r="Q46" s="446">
        <v>0</v>
      </c>
    </row>
    <row s="1651" customFormat="1" customHeight="1" ht="24.75">
      <c r="A47" s="800"/>
      <c r="B47" s="429"/>
      <c r="C47" s="424"/>
      <c r="D47" s="426"/>
      <c r="E47" s="1181" t="s">
        <v>63</v>
      </c>
      <c r="F47" s="726" t="s">
        <v>19</v>
      </c>
      <c r="G47" s="89"/>
      <c r="I47" s="427"/>
      <c r="J47" s="892"/>
      <c r="Q47" s="425">
        <v>0</v>
      </c>
    </row>
    <row s="1628" customFormat="1" customHeight="1" ht="6">
      <c r="A48" s="800"/>
      <c r="B48" s="248"/>
      <c r="C48" s="249"/>
      <c r="D48" s="250"/>
      <c r="E48" s="251"/>
      <c r="F48" s="1069"/>
      <c r="G48" s="89"/>
      <c r="H48" s="425"/>
      <c r="I48" s="427"/>
      <c r="J48" s="892"/>
      <c r="Q48" s="252">
        <v>0</v>
      </c>
    </row>
    <row customHeight="1" ht="29.25">
      <c r="B49" s="164"/>
      <c r="D49" s="91"/>
      <c r="E49" s="4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6" t="s">
        <v>64</v>
      </c>
      <c r="G49" s="89"/>
      <c r="Q49" s="90">
        <v>0</v>
      </c>
    </row>
    <row s="1628" customFormat="1" customHeight="1" ht="6" hidden="1">
      <c r="A50" s="801"/>
      <c r="B50" s="442"/>
      <c r="C50" s="443"/>
      <c r="D50" s="255"/>
      <c r="E50" s="253"/>
      <c r="F50" s="256"/>
      <c r="G50" s="93"/>
      <c r="H50" s="425"/>
      <c r="I50" s="427"/>
      <c r="J50" s="892"/>
      <c r="Q50" s="446">
        <v>0</v>
      </c>
    </row>
    <row s="1651" customFormat="1" customHeight="1" ht="28.5" hidden="1">
      <c r="A51" s="802"/>
      <c r="B51" s="429"/>
      <c r="C51" s="546"/>
      <c r="D51" s="547"/>
      <c r="E51" s="407" t="s">
        <v>65</v>
      </c>
      <c r="F51" s="726" t="s">
        <v>19</v>
      </c>
      <c r="G51" s="548"/>
      <c r="I51" s="550"/>
      <c r="J51" s="894"/>
      <c r="P51" s="551"/>
      <c r="Q51" s="549">
        <v>0</v>
      </c>
    </row>
    <row s="1628" customFormat="1" customHeight="1" ht="6" hidden="1">
      <c r="A52" s="801"/>
      <c r="B52" s="442"/>
      <c r="C52" s="443"/>
      <c r="D52" s="255"/>
      <c r="E52" s="253"/>
      <c r="F52" s="256"/>
      <c r="G52" s="93"/>
      <c r="H52" s="425"/>
      <c r="I52" s="427"/>
      <c r="J52" s="890"/>
      <c r="Q52" s="446">
        <v>0</v>
      </c>
    </row>
    <row s="1651" customFormat="1" customHeight="1" ht="27" hidden="1">
      <c r="A53" s="802"/>
      <c r="B53" s="429"/>
      <c r="C53" s="546"/>
      <c r="D53" s="547"/>
      <c r="E53" s="407" t="s">
        <v>66</v>
      </c>
      <c r="F53" s="1064" t="s">
        <v>19</v>
      </c>
      <c r="G53" s="548"/>
      <c r="I53" s="550"/>
      <c r="J53" s="894"/>
      <c r="P53" s="551"/>
      <c r="Q53" s="549">
        <v>0</v>
      </c>
    </row>
    <row s="1651" customFormat="1" customHeight="1" ht="27" hidden="1">
      <c r="A54" s="802"/>
      <c r="B54" s="429"/>
      <c r="C54" s="546"/>
      <c r="D54" s="547"/>
      <c r="E54" s="407" t="s">
        <v>67</v>
      </c>
      <c r="F54" s="1790"/>
      <c r="G54" s="548"/>
      <c r="I54" s="550"/>
      <c r="J54" s="894"/>
      <c r="P54" s="551"/>
      <c r="Q54" s="549">
        <v>0</v>
      </c>
    </row>
    <row s="1628" customFormat="1" customHeight="1" ht="6" hidden="1">
      <c r="A55" s="801"/>
      <c r="B55" s="442"/>
      <c r="C55" s="443"/>
      <c r="D55" s="255"/>
      <c r="E55" s="253"/>
      <c r="F55" s="256"/>
      <c r="G55" s="93"/>
      <c r="H55" s="425"/>
      <c r="I55" s="427"/>
      <c r="J55" s="890"/>
      <c r="Q55" s="446">
        <v>0</v>
      </c>
    </row>
    <row s="1651" customFormat="1" customHeight="1" ht="25.5" hidden="1">
      <c r="A56" s="802"/>
      <c r="B56" s="429"/>
      <c r="C56" s="546"/>
      <c r="D56" s="547"/>
      <c r="E56" s="407" t="s">
        <v>68</v>
      </c>
      <c r="F56" s="1064" t="s">
        <v>19</v>
      </c>
      <c r="G56" s="548"/>
      <c r="I56" s="550"/>
      <c r="J56" s="894"/>
      <c r="P56" s="551"/>
      <c r="Q56" s="549">
        <v>0</v>
      </c>
    </row>
    <row s="1628" customFormat="1" customHeight="1" ht="6" hidden="1">
      <c r="A57" s="801"/>
      <c r="B57" s="442"/>
      <c r="C57" s="443"/>
      <c r="D57" s="255"/>
      <c r="E57" s="253"/>
      <c r="F57" s="256"/>
      <c r="G57" s="93"/>
      <c r="H57" s="425"/>
      <c r="I57" s="427"/>
      <c r="J57" s="890"/>
      <c r="Q57" s="446">
        <v>0</v>
      </c>
    </row>
    <row s="1651" customFormat="1" customHeight="1" ht="15" hidden="1">
      <c r="A58" s="802"/>
      <c r="B58" s="429"/>
      <c r="C58" s="546"/>
      <c r="D58" s="547"/>
      <c r="E58" s="407" t="s">
        <v>69</v>
      </c>
      <c r="F58" s="1064" t="s">
        <v>64</v>
      </c>
      <c r="G58" s="548"/>
      <c r="I58" s="550"/>
      <c r="J58" s="894"/>
      <c r="P58" s="551"/>
      <c r="Q58" s="549">
        <v>0</v>
      </c>
    </row>
    <row s="1651" customFormat="1" customHeight="1" ht="75" hidden="1">
      <c r="A59" s="802"/>
      <c r="B59" s="429"/>
      <c r="C59" s="546"/>
      <c r="D59" s="547"/>
      <c r="E59" s="4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5"/>
      <c r="G59" s="548"/>
      <c r="I59" s="550"/>
      <c r="J59" s="894"/>
      <c r="P59" s="551"/>
      <c r="Q59" s="549">
        <v>0</v>
      </c>
    </row>
    <row s="1651" customFormat="1" customHeight="1" ht="15" hidden="1">
      <c r="A60" s="802"/>
      <c r="B60" s="429"/>
      <c r="C60" s="546"/>
      <c r="D60" s="547"/>
      <c r="E60" s="1181" t="s">
        <v>70</v>
      </c>
      <c r="F60" s="1167"/>
      <c r="G60" s="548"/>
      <c r="I60" s="550"/>
      <c r="J60" s="894"/>
      <c r="P60" s="551"/>
      <c r="Q60" s="549">
        <v>0</v>
      </c>
    </row>
    <row s="1628" customFormat="1" customHeight="1" ht="6" hidden="1">
      <c r="A61" s="801"/>
      <c r="B61" s="442"/>
      <c r="C61" s="443"/>
      <c r="D61" s="444"/>
      <c r="E61" s="445"/>
      <c r="F61" s="1069"/>
      <c r="G61" s="89"/>
      <c r="H61" s="425"/>
      <c r="I61" s="427"/>
      <c r="J61" s="892"/>
      <c r="Q61" s="446">
        <v>0</v>
      </c>
    </row>
    <row s="1651" customFormat="1" customHeight="1" ht="33.75" hidden="1">
      <c r="A62" s="801"/>
      <c r="B62" s="114"/>
      <c r="C62" s="424"/>
      <c r="D62" s="426"/>
      <c r="E62" s="1181" t="s">
        <v>71</v>
      </c>
      <c r="F62" s="1687" t="s">
        <v>64</v>
      </c>
      <c r="G62" s="89"/>
      <c r="H62" s="789" t="s">
        <v>22</v>
      </c>
      <c r="I62" s="427"/>
      <c r="J62" s="892"/>
      <c r="Q62" s="425">
        <v>0</v>
      </c>
    </row>
    <row s="1628" customFormat="1" customHeight="1" ht="6.3">
      <c r="A63" s="801"/>
      <c r="B63" s="248"/>
      <c r="C63" s="249"/>
      <c r="D63" s="255"/>
      <c r="E63" s="253"/>
      <c r="F63" s="256"/>
      <c r="G63" s="93"/>
      <c r="H63" s="425"/>
      <c r="I63" s="427"/>
      <c r="J63" s="890"/>
      <c r="Q63" s="252">
        <v>6</v>
      </c>
    </row>
    <row customHeight="1" ht="21">
      <c r="A64" s="803"/>
      <c r="B64" s="115"/>
      <c r="D64" s="98"/>
      <c r="E64" s="407" t="s">
        <v>72</v>
      </c>
      <c r="F64" s="232" t="s">
        <v>73</v>
      </c>
      <c r="G64" s="93"/>
      <c r="Q64" s="90">
        <v>20</v>
      </c>
    </row>
    <row customHeight="1" ht="21">
      <c r="A65" s="803"/>
      <c r="B65" s="115"/>
      <c r="D65" s="98"/>
      <c r="E65" s="407" t="s">
        <v>74</v>
      </c>
      <c r="F65" s="232" t="s">
        <v>75</v>
      </c>
      <c r="G65" s="93"/>
      <c r="Q65" s="90">
        <v>20</v>
      </c>
    </row>
    <row customHeight="1" ht="36.75">
      <c r="D66" s="91"/>
      <c r="E66" s="409" t="s">
        <v>76</v>
      </c>
      <c r="F66" s="1070"/>
      <c r="G66" s="89"/>
      <c r="Q66" s="90">
        <v>35</v>
      </c>
    </row>
    <row customHeight="1" ht="21">
      <c r="A67" s="803"/>
      <c r="D67" s="426"/>
      <c r="E67" s="407" t="s">
        <v>77</v>
      </c>
      <c r="F67" s="287" t="s">
        <v>78</v>
      </c>
      <c r="G67" s="93"/>
      <c r="Q67" s="90">
        <v>20</v>
      </c>
    </row>
    <row customHeight="1" ht="21">
      <c r="A68" s="803"/>
      <c r="B68" s="115"/>
      <c r="D68" s="98"/>
      <c r="E68" s="407" t="s">
        <v>79</v>
      </c>
      <c r="F68" s="287" t="s">
        <v>80</v>
      </c>
      <c r="G68" s="93"/>
      <c r="Q68" s="90">
        <v>20</v>
      </c>
    </row>
    <row customHeight="1" ht="21">
      <c r="A69" s="803"/>
      <c r="B69" s="115"/>
      <c r="D69" s="98"/>
      <c r="E69" s="407" t="s">
        <v>81</v>
      </c>
      <c r="F69" s="287" t="s">
        <v>82</v>
      </c>
      <c r="G69" s="93"/>
      <c r="Q69" s="90">
        <v>20</v>
      </c>
    </row>
    <row customHeight="1" ht="21">
      <c r="D70" s="426"/>
      <c r="E70" s="407" t="s">
        <v>83</v>
      </c>
      <c r="F70" s="287" t="s">
        <v>84</v>
      </c>
      <c r="G70" s="89"/>
      <c r="Q70" s="90">
        <v>20</v>
      </c>
    </row>
    <row customHeight="1" ht="21">
      <c r="A71" s="803"/>
      <c r="D71" s="89"/>
      <c r="F71" s="149"/>
      <c r="G71" s="93"/>
      <c r="Q71" s="90">
        <v>20</v>
      </c>
    </row>
    <row customHeight="1" ht="21">
      <c r="A72" s="803"/>
      <c r="B72" s="115"/>
      <c r="D72" s="98"/>
      <c r="E72" s="97"/>
      <c r="F72" s="1049" t="s">
        <v>13</v>
      </c>
      <c r="G72" s="93"/>
      <c r="Q72" s="90">
        <v>20</v>
      </c>
    </row>
    <row customHeight="1" ht="21">
      <c r="A73" s="803"/>
      <c r="B73" s="115"/>
      <c r="D73" s="98"/>
      <c r="E73" s="97"/>
      <c r="F73" s="150"/>
      <c r="G73" s="93"/>
      <c r="Q73" s="90">
        <v>20</v>
      </c>
    </row>
    <row customHeight="1" ht="21">
      <c r="A74" s="803"/>
      <c r="B74" s="115"/>
      <c r="D74" s="98"/>
      <c r="E74" s="102"/>
      <c r="F74" s="150"/>
      <c r="G74" s="93"/>
      <c r="Q74" s="90">
        <v>20</v>
      </c>
    </row>
    <row customHeight="1" ht="21">
      <c r="A75" s="803"/>
      <c r="B75" s="115"/>
      <c r="D75" s="98"/>
      <c r="E75" s="97"/>
      <c r="F75" s="150"/>
      <c r="G75" s="93"/>
      <c r="Q75" s="90">
        <v>20</v>
      </c>
    </row>
    <row customHeight="1" ht="11.549999999999999">
      <c r="Q76" s="90">
        <v>11</v>
      </c>
    </row>
    <row customHeight="1" ht="11.549999999999999">
      <c r="Q77" s="90">
        <v>11</v>
      </c>
    </row>
    <row customHeight="1" ht="11.549999999999999">
      <c r="E78" s="406"/>
      <c r="F78" s="406"/>
      <c r="G78" s="406"/>
      <c r="H78" s="406"/>
      <c r="I78" s="406"/>
      <c r="Q78" s="90">
        <v>11</v>
      </c>
    </row>
    <row customHeight="1" ht="11.25" hidden="1">
      <c r="A79" s="800" t="s">
        <v>85</v>
      </c>
      <c r="B79" s="114">
        <v>0</v>
      </c>
      <c r="C79" s="88">
        <v>3</v>
      </c>
      <c r="D79" s="90">
        <v>1</v>
      </c>
      <c r="E79" s="90">
        <v>55</v>
      </c>
      <c r="F79" s="90">
        <v>54</v>
      </c>
      <c r="G79" s="787">
        <v>1</v>
      </c>
      <c r="H79" s="425">
        <v>0</v>
      </c>
      <c r="I79" s="427">
        <v>59</v>
      </c>
      <c r="J79" s="892">
        <v>0</v>
      </c>
      <c r="K79" s="90">
        <v>8</v>
      </c>
      <c r="L79" s="90">
        <v>77</v>
      </c>
      <c r="M79" s="90">
        <v>8</v>
      </c>
      <c r="N79" s="90">
        <v>8</v>
      </c>
      <c r="O79" s="90">
        <v>8</v>
      </c>
      <c r="P79" s="90">
        <v>8</v>
      </c>
      <c r="Q79" s="9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326091A-B57F-036D-3F8F-241B1250A745}"/>
    <hyperlink ref="H17" location="Титульный!H9" display="Как заполнить?" tooltip="Помощь по работе с полями отчётной формы" xr:uid="{9CB853AF-4545-AF28-2598-3E9CA7B0D4ED}"/>
    <hyperlink ref="H39" location="Титульный!H9" display="Как заполнить?" tooltip="Помощь по работе с полями отчётной формы" xr:uid="{DEB2E8E7-E3BA-5885-7EA4-D83E5EAF35B2}"/>
    <hyperlink ref="H62" location="Титульный!H9" display="Как заполнить?" tooltip="Помощь по работе с полями отчётной формы" xr:uid="{FEE5A16A-22D2-3FE4-7379-78AA93C867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DBFDF-800D-D261-7387-BFB71338EA4E}" mc:Ignorable="x14ac xr xr2 xr3">
  <sheetPr>
    <tabColor theme="6" tint="0.4"/>
  </sheetPr>
  <dimension ref="A1:BA392"/>
  <sheetViews>
    <sheetView showGridLines="0" zoomScale="90" workbookViewId="0">
      <pane xSplit="27" ySplit="44" topLeftCell="AB360" activePane="bottomRight" state="frozen"/>
      <selection pane="bottomLeft" activeCell="A45" sqref="A45"/>
      <selection pane="topRight" activeCell="AB1" sqref="AB1"/>
      <selection pane="bottomRight" activeCell="AR375" sqref="AR375"/>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1792" width="3.00390625" customWidth="1"/>
    <col min="17" max="17" style="1387" width="3.00390625" customWidth="1"/>
    <col min="18" max="18" style="360" width="3.00390625" customWidth="1"/>
    <col min="19" max="19" style="2423" width="12.00390625" customWidth="1"/>
    <col min="20" max="20" style="1651" width="31.00390625" customWidth="1"/>
    <col min="21" max="21" style="1651" width="0.140625" customWidth="1"/>
    <col min="22" max="23" style="1651" width="21.7109375" hidden="1" customWidth="1"/>
    <col min="24" max="24" style="1651" width="11.7109375" hidden="1" customWidth="1"/>
    <col min="25" max="25" style="1651" width="3.7109375" hidden="1" customWidth="1"/>
    <col min="26" max="26" style="1651" width="11.7109375" hidden="1" customWidth="1"/>
    <col min="27" max="27" style="1651" width="8.57421875" hidden="1" customWidth="1"/>
    <col min="28" max="28" style="1651" width="5.421875" customWidth="1"/>
    <col min="29" max="30" style="1651" width="3.00390625" customWidth="1"/>
    <col min="31" max="31" style="1651" width="24.00390625" customWidth="1"/>
    <col min="32" max="32" style="1651" width="3.7109375" customWidth="1"/>
    <col min="33" max="34" style="1651" width="3.00390625" customWidth="1"/>
    <col min="35" max="35" style="1651" width="24.00390625" customWidth="1"/>
    <col min="36" max="36" style="1651" width="3.7109375" customWidth="1"/>
    <col min="37" max="38" style="1651" width="3.00390625" customWidth="1"/>
    <col min="39" max="39" style="1651" width="18.00390625" customWidth="1"/>
    <col min="40" max="41" style="1651" width="21.00390625" customWidth="1"/>
    <col min="42" max="42" style="1651" width="11.00390625" customWidth="1"/>
    <col min="43" max="43" style="1651" width="3.7109375" customWidth="1"/>
    <col min="44" max="44" style="1651" width="11.00390625" customWidth="1"/>
    <col min="45" max="45" style="1651" width="8.57421875" hidden="1" customWidth="1"/>
    <col min="46" max="46" style="1651" width="4.00390625" customWidth="1"/>
    <col min="47" max="47" style="1651" width="115.00390625" customWidth="1"/>
    <col min="48" max="52" style="1658" width="10.00390625" customWidth="1"/>
    <col min="53" max="53" style="1651" width="10.57421875" hidden="1"/>
  </cols>
  <sheetData>
    <row customHeight="1" ht="22.5" hidden="1">
      <c r="W1" s="343"/>
      <c r="X1" s="343"/>
      <c r="AO1" s="343"/>
      <c r="AP1" s="343"/>
      <c r="BA1" s="1171" t="s">
        <v>14</v>
      </c>
    </row>
    <row customHeight="1" ht="21" hidden="1">
      <c r="A2" s="1379"/>
      <c r="B2" s="1379"/>
      <c r="C2" s="1379"/>
      <c r="D2" s="1379"/>
      <c r="E2" s="2274">
        <v>1</v>
      </c>
      <c r="F2" s="1379"/>
      <c r="G2" s="1379"/>
      <c r="H2" s="1379"/>
      <c r="I2" s="1379"/>
      <c r="J2" s="1379"/>
      <c r="K2" s="1379"/>
      <c r="L2" s="1380"/>
      <c r="M2" s="1381"/>
      <c r="N2" s="1381"/>
      <c r="O2" s="1381"/>
      <c r="P2" s="1425"/>
      <c r="Q2" s="889"/>
      <c r="R2" s="371"/>
      <c r="S2" s="1352">
        <f>INDEX(PT_DIFFERENTIATION_NUM_NTAR,MATCH(A2,PT_DIFFERENTIATION_NTAR_ID,0))</f>
      </c>
      <c r="T2" s="314" t="s">
        <v>192</v>
      </c>
      <c r="U2" s="316"/>
      <c r="V2" s="2259"/>
      <c r="W2" s="2259"/>
      <c r="X2" s="2259"/>
      <c r="Y2" s="2259"/>
      <c r="Z2" s="2259"/>
      <c r="AA2" s="2260"/>
      <c r="AB2" s="2258">
        <f>INDEX(PT_DIFFERENTIATION_NTAR,MATCH(A2,PT_DIFFERENTIATION_NTAR_ID,0))</f>
      </c>
      <c r="AC2" s="2259"/>
      <c r="AD2" s="2259"/>
      <c r="AE2" s="2259"/>
      <c r="AF2" s="2259"/>
      <c r="AG2" s="2259"/>
      <c r="AH2" s="2259"/>
      <c r="AI2" s="2259"/>
      <c r="AJ2" s="2259"/>
      <c r="AK2" s="2259"/>
      <c r="AL2" s="2259"/>
      <c r="AM2" s="2259"/>
      <c r="AN2" s="2259"/>
      <c r="AO2" s="2259"/>
      <c r="AP2" s="2259"/>
      <c r="AQ2" s="2259"/>
      <c r="AR2" s="2259"/>
      <c r="AS2" s="2259"/>
      <c r="AT2" s="2260"/>
      <c r="AU2" s="1274" t="s">
        <v>549</v>
      </c>
      <c r="AW2" s="516"/>
      <c r="AX2" s="516" t="str">
        <f>IF(T2="","",T2)</f>
        <v>Наименование тарифа</v>
      </c>
      <c r="AY2" s="516"/>
      <c r="AZ2" s="516"/>
      <c r="BA2" s="1171">
        <v>0</v>
      </c>
    </row>
    <row customHeight="1" ht="21" hidden="1">
      <c r="A3" s="1379"/>
      <c r="B3" s="1379"/>
      <c r="C3" s="1379"/>
      <c r="D3" s="1379"/>
      <c r="E3" s="2275"/>
      <c r="F3" s="2274">
        <v>1</v>
      </c>
      <c r="G3" s="1379"/>
      <c r="H3" s="1379"/>
      <c r="I3" s="1379"/>
      <c r="J3" s="1379"/>
      <c r="K3" s="1379"/>
      <c r="L3" s="1380"/>
      <c r="M3" s="1381"/>
      <c r="N3" s="1381"/>
      <c r="O3" s="1381"/>
      <c r="P3" s="1426"/>
      <c r="Q3" s="1427"/>
      <c r="R3" s="369"/>
      <c r="S3" s="1352">
        <f>INDEX(PT_DIFFERENTIATION_NUM_TER,MATCH(B3,PT_DIFFERENTIATION_TER_ID,0))</f>
      </c>
      <c r="T3" s="324" t="s">
        <v>550</v>
      </c>
      <c r="U3" s="316"/>
      <c r="V3" s="2259"/>
      <c r="W3" s="2259"/>
      <c r="X3" s="2259"/>
      <c r="Y3" s="2259"/>
      <c r="Z3" s="2259"/>
      <c r="AA3" s="2260"/>
      <c r="AB3" s="2258">
        <f>INDEX(PT_DIFFERENTIATION_TER,MATCH(B3,PT_DIFFERENTIATION_TER_ID,0))</f>
      </c>
      <c r="AC3" s="2259"/>
      <c r="AD3" s="2259"/>
      <c r="AE3" s="2259"/>
      <c r="AF3" s="2259"/>
      <c r="AG3" s="2259"/>
      <c r="AH3" s="2259"/>
      <c r="AI3" s="2259"/>
      <c r="AJ3" s="2259"/>
      <c r="AK3" s="2259"/>
      <c r="AL3" s="2259"/>
      <c r="AM3" s="2259"/>
      <c r="AN3" s="2259"/>
      <c r="AO3" s="2259"/>
      <c r="AP3" s="2259"/>
      <c r="AQ3" s="2259"/>
      <c r="AR3" s="2259"/>
      <c r="AS3" s="2259"/>
      <c r="AT3" s="2260"/>
      <c r="AU3" s="1274" t="s">
        <v>551</v>
      </c>
      <c r="AW3" s="516"/>
      <c r="AX3" s="516" t="str">
        <f>IF(T3="","",T3)</f>
        <v>Территория действия тарифа</v>
      </c>
      <c r="AY3" s="516"/>
      <c r="AZ3" s="516"/>
      <c r="BA3" s="1171">
        <v>0</v>
      </c>
    </row>
    <row customHeight="1" ht="22.5" hidden="1">
      <c r="A4" s="1379"/>
      <c r="B4" s="1379"/>
      <c r="C4" s="1379"/>
      <c r="D4" s="1379"/>
      <c r="E4" s="2275"/>
      <c r="F4" s="2275"/>
      <c r="G4" s="2274">
        <v>1</v>
      </c>
      <c r="H4" s="1379"/>
      <c r="I4" s="1379"/>
      <c r="J4" s="1379"/>
      <c r="K4" s="1379"/>
      <c r="L4" s="1380"/>
      <c r="M4" s="1381"/>
      <c r="N4" s="1381"/>
      <c r="O4" s="1381"/>
      <c r="P4" s="1428"/>
      <c r="Q4" s="1427"/>
      <c r="R4" s="369"/>
      <c r="S4" s="1352">
        <f>INDEX(PT_DIFFERENTIATION_NUM_CS,MATCH(C4,PT_DIFFERENTIATION_CS_ID,0))</f>
      </c>
      <c r="T4" s="325" t="s">
        <v>552</v>
      </c>
      <c r="U4" s="316"/>
      <c r="V4" s="2259"/>
      <c r="W4" s="2259"/>
      <c r="X4" s="2259"/>
      <c r="Y4" s="2259"/>
      <c r="Z4" s="2259"/>
      <c r="AA4" s="2260"/>
      <c r="AB4" s="2258">
        <f>INDEX(PT_DIFFERENTIATION_CS,MATCH(C4,PT_DIFFERENTIATION_CS_ID,0))</f>
      </c>
      <c r="AC4" s="2259"/>
      <c r="AD4" s="2259"/>
      <c r="AE4" s="2259"/>
      <c r="AF4" s="2259"/>
      <c r="AG4" s="2259"/>
      <c r="AH4" s="2259"/>
      <c r="AI4" s="2259"/>
      <c r="AJ4" s="2259"/>
      <c r="AK4" s="2259"/>
      <c r="AL4" s="2259"/>
      <c r="AM4" s="2259"/>
      <c r="AN4" s="2259"/>
      <c r="AO4" s="2259"/>
      <c r="AP4" s="2259"/>
      <c r="AQ4" s="2259"/>
      <c r="AR4" s="2259"/>
      <c r="AS4" s="2259"/>
      <c r="AT4" s="2260"/>
      <c r="AU4" s="1274" t="s">
        <v>553</v>
      </c>
      <c r="AW4" s="516"/>
      <c r="AX4" s="516" t="str">
        <f>IF(T4="","",T4)</f>
        <v>Наименование системы теплоснабжения </v>
      </c>
      <c r="AY4" s="516"/>
      <c r="AZ4" s="516"/>
      <c r="BA4" s="1171">
        <v>0</v>
      </c>
    </row>
    <row customHeight="1" ht="21" hidden="1">
      <c r="A5" s="1379"/>
      <c r="B5" s="1379"/>
      <c r="C5" s="1379"/>
      <c r="D5" s="1379"/>
      <c r="E5" s="2275"/>
      <c r="F5" s="2275"/>
      <c r="G5" s="2275"/>
      <c r="H5" s="2274">
        <v>1</v>
      </c>
      <c r="I5" s="1379"/>
      <c r="J5" s="1379"/>
      <c r="K5" s="1379"/>
      <c r="L5" s="1380"/>
      <c r="M5" s="1381"/>
      <c r="N5" s="1381"/>
      <c r="O5" s="1381"/>
      <c r="P5" s="1428"/>
      <c r="Q5" s="1427"/>
      <c r="R5" s="369"/>
      <c r="S5" s="1352">
        <f>INDEX(PT_DIFFERENTIATION_NUM_IST_TE,MATCH(D5,PT_DIFFERENTIATION_IST_TE_ID,0))</f>
      </c>
      <c r="T5" s="326" t="s">
        <v>554</v>
      </c>
      <c r="U5" s="316"/>
      <c r="V5" s="2259"/>
      <c r="W5" s="2259"/>
      <c r="X5" s="2259"/>
      <c r="Y5" s="2259"/>
      <c r="Z5" s="2259"/>
      <c r="AA5" s="2260"/>
      <c r="AB5" s="2258">
        <f>INDEX(PT_DIFFERENTIATION_IST_TE,MATCH(D5,PT_DIFFERENTIATION_IST_TE_ID,0))</f>
      </c>
      <c r="AC5" s="2259"/>
      <c r="AD5" s="2259"/>
      <c r="AE5" s="2259"/>
      <c r="AF5" s="2259"/>
      <c r="AG5" s="2259"/>
      <c r="AH5" s="2259"/>
      <c r="AI5" s="2259"/>
      <c r="AJ5" s="2259"/>
      <c r="AK5" s="2259"/>
      <c r="AL5" s="2259"/>
      <c r="AM5" s="2259"/>
      <c r="AN5" s="2259"/>
      <c r="AO5" s="2259"/>
      <c r="AP5" s="2259"/>
      <c r="AQ5" s="2259"/>
      <c r="AR5" s="2259"/>
      <c r="AS5" s="2259"/>
      <c r="AT5" s="2260"/>
      <c r="AU5" s="1274" t="s">
        <v>555</v>
      </c>
      <c r="AW5" s="516"/>
      <c r="AX5" s="516" t="str">
        <f>IF(T5="","",T5)</f>
        <v>Источник тепловой энергии  </v>
      </c>
      <c r="AY5" s="516"/>
      <c r="AZ5" s="516"/>
      <c r="BA5" s="1171">
        <v>0</v>
      </c>
    </row>
    <row s="1658" customFormat="1" customHeight="1" ht="0.75" hidden="1">
      <c r="A6" s="1359"/>
      <c r="B6" s="1359"/>
      <c r="C6" s="1359"/>
      <c r="D6" s="1359"/>
      <c r="E6" s="2275"/>
      <c r="F6" s="2275"/>
      <c r="G6" s="2275"/>
      <c r="H6" s="2275"/>
      <c r="I6" s="2272">
        <f>S5&amp;".1"</f>
      </c>
      <c r="J6" s="1359"/>
      <c r="K6" s="1359"/>
      <c r="L6" s="1362" t="s">
        <v>556</v>
      </c>
      <c r="M6" s="526"/>
      <c r="N6" s="526"/>
      <c r="O6" s="526"/>
      <c r="P6" s="2273">
        <v>1</v>
      </c>
      <c r="Q6" s="1347"/>
      <c r="R6" s="372"/>
      <c r="S6" s="1058"/>
      <c r="T6" s="1399"/>
      <c r="U6" s="1400"/>
      <c r="V6" s="2313"/>
      <c r="W6" s="2313"/>
      <c r="X6" s="2313"/>
      <c r="Y6" s="2313"/>
      <c r="Z6" s="2313"/>
      <c r="AA6" s="2314"/>
      <c r="AB6" s="2312"/>
      <c r="AC6" s="2313"/>
      <c r="AD6" s="2313"/>
      <c r="AE6" s="2313"/>
      <c r="AF6" s="2313"/>
      <c r="AG6" s="2313"/>
      <c r="AH6" s="2313"/>
      <c r="AI6" s="2313"/>
      <c r="AJ6" s="2313"/>
      <c r="AK6" s="2313"/>
      <c r="AL6" s="2313"/>
      <c r="AM6" s="2313"/>
      <c r="AN6" s="2313"/>
      <c r="AO6" s="2313"/>
      <c r="AP6" s="2313"/>
      <c r="AQ6" s="2313"/>
      <c r="AR6" s="2313"/>
      <c r="AS6" s="2313"/>
      <c r="AT6" s="2314"/>
      <c r="AU6" s="1401"/>
      <c r="AW6" s="516"/>
      <c r="AX6" s="516" t="str">
        <f>IF(T6="","",T6)</f>
        <v/>
      </c>
      <c r="AY6" s="516"/>
      <c r="AZ6" s="516"/>
      <c r="BA6" s="527">
        <v>0</v>
      </c>
    </row>
    <row s="1658" customFormat="1" customHeight="1" ht="0.75" hidden="1">
      <c r="A7" s="1359"/>
      <c r="B7" s="1359"/>
      <c r="C7" s="1359"/>
      <c r="D7" s="1359"/>
      <c r="E7" s="2275"/>
      <c r="F7" s="2275"/>
      <c r="G7" s="2275"/>
      <c r="H7" s="2275"/>
      <c r="I7" s="2302"/>
      <c r="J7" s="2272">
        <f>S5&amp;".1"</f>
      </c>
      <c r="K7" s="1359"/>
      <c r="L7" s="1362"/>
      <c r="M7" s="526"/>
      <c r="N7" s="526"/>
      <c r="O7" s="526"/>
      <c r="P7" s="2273"/>
      <c r="Q7" s="2273">
        <v>1</v>
      </c>
      <c r="R7" s="373"/>
      <c r="S7" s="1058"/>
      <c r="T7" s="1415"/>
      <c r="U7" s="1400"/>
      <c r="V7" s="2313"/>
      <c r="W7" s="2313"/>
      <c r="X7" s="2313"/>
      <c r="Y7" s="2313"/>
      <c r="Z7" s="2313"/>
      <c r="AA7" s="2314"/>
      <c r="AB7" s="2312"/>
      <c r="AC7" s="2313"/>
      <c r="AD7" s="2313"/>
      <c r="AE7" s="2313"/>
      <c r="AF7" s="2313"/>
      <c r="AG7" s="2313"/>
      <c r="AH7" s="2313"/>
      <c r="AI7" s="2313"/>
      <c r="AJ7" s="2313"/>
      <c r="AK7" s="2313"/>
      <c r="AL7" s="2313"/>
      <c r="AM7" s="2313"/>
      <c r="AN7" s="2313"/>
      <c r="AO7" s="2313"/>
      <c r="AP7" s="2313"/>
      <c r="AQ7" s="2313"/>
      <c r="AR7" s="2313"/>
      <c r="AS7" s="2313"/>
      <c r="AT7" s="2314"/>
      <c r="AU7" s="1401"/>
      <c r="AW7" s="516"/>
      <c r="AX7" s="516" t="str">
        <f>IF(T7="","",T7)</f>
        <v/>
      </c>
      <c r="AY7" s="516"/>
      <c r="AZ7" s="516"/>
      <c r="BA7" s="527">
        <v>0</v>
      </c>
    </row>
    <row customHeight="1" ht="21" hidden="1">
      <c r="A8" s="1379"/>
      <c r="B8" s="1379"/>
      <c r="C8" s="1379"/>
      <c r="D8" s="1379"/>
      <c r="E8" s="2275"/>
      <c r="F8" s="2275"/>
      <c r="G8" s="2275"/>
      <c r="H8" s="2275"/>
      <c r="I8" s="2302"/>
      <c r="J8" s="2302"/>
      <c r="K8" s="2272">
        <f>S5&amp;".1"</f>
      </c>
      <c r="L8" s="1380"/>
      <c r="P8" s="2273"/>
      <c r="Q8" s="2273"/>
      <c r="R8" s="2363">
        <v>1</v>
      </c>
      <c r="S8" s="2357">
        <f>$K8</f>
      </c>
      <c r="T8" s="2360"/>
      <c r="U8" s="316"/>
      <c r="V8" s="767"/>
      <c r="W8" s="1273"/>
      <c r="X8" s="2281"/>
      <c r="Y8" s="2123" t="s">
        <v>64</v>
      </c>
      <c r="Z8" s="2281"/>
      <c r="AA8" s="2123" t="s">
        <v>64</v>
      </c>
      <c r="AB8" s="2123" t="s">
        <v>19</v>
      </c>
      <c r="AC8" s="2342"/>
      <c r="AD8" s="2221">
        <v>1</v>
      </c>
      <c r="AE8" s="2343"/>
      <c r="AF8" s="2123" t="s">
        <v>19</v>
      </c>
      <c r="AG8" s="2342"/>
      <c r="AH8" s="2221">
        <v>1</v>
      </c>
      <c r="AI8" s="2343"/>
      <c r="AJ8" s="2123" t="s">
        <v>19</v>
      </c>
      <c r="AK8" s="327"/>
      <c r="AL8" s="1353">
        <v>1</v>
      </c>
      <c r="AM8" s="1414"/>
      <c r="AN8" s="767"/>
      <c r="AO8" s="1273"/>
      <c r="AP8" s="1750"/>
      <c r="AQ8" s="1475" t="s">
        <v>64</v>
      </c>
      <c r="AR8" s="1750"/>
      <c r="AS8" s="1475" t="s">
        <v>64</v>
      </c>
      <c r="AT8" s="1364"/>
      <c r="AU8" s="2269" t="s">
        <v>613</v>
      </c>
      <c r="AV8" s="527">
        <f>STRCHECKDATE(V11:AT11)</f>
      </c>
      <c r="AW8" s="516"/>
      <c r="AX8" s="516" t="str">
        <f>IF(T8="","",T8)</f>
        <v/>
      </c>
      <c r="AY8" s="516"/>
      <c r="AZ8" s="516"/>
      <c r="BA8" s="1171">
        <v>0</v>
      </c>
    </row>
    <row customHeight="1" ht="11.25" hidden="1">
      <c r="A9" s="1379"/>
      <c r="B9" s="1379"/>
      <c r="C9" s="1379"/>
      <c r="D9" s="1379"/>
      <c r="E9" s="2275"/>
      <c r="F9" s="2275"/>
      <c r="G9" s="2275"/>
      <c r="H9" s="2275"/>
      <c r="I9" s="2302"/>
      <c r="J9" s="2302"/>
      <c r="K9" s="2272"/>
      <c r="L9" s="1380"/>
      <c r="P9" s="2273"/>
      <c r="Q9" s="2273"/>
      <c r="R9" s="2363"/>
      <c r="S9" s="2358"/>
      <c r="T9" s="2361"/>
      <c r="U9" s="316"/>
      <c r="V9" s="1409"/>
      <c r="W9" s="1413"/>
      <c r="X9" s="2281"/>
      <c r="Y9" s="2123"/>
      <c r="Z9" s="2281"/>
      <c r="AA9" s="2123"/>
      <c r="AB9" s="2123"/>
      <c r="AC9" s="2342"/>
      <c r="AD9" s="2221"/>
      <c r="AE9" s="2343"/>
      <c r="AF9" s="2123"/>
      <c r="AG9" s="2342"/>
      <c r="AH9" s="2221"/>
      <c r="AI9" s="2343"/>
      <c r="AJ9" s="2123"/>
      <c r="AK9" s="332"/>
      <c r="AL9" s="432"/>
      <c r="AM9" s="431" t="s">
        <v>614</v>
      </c>
      <c r="AN9" s="1409"/>
      <c r="AO9" s="1512"/>
      <c r="AP9" s="1409"/>
      <c r="AQ9" s="1409"/>
      <c r="AR9" s="1409"/>
      <c r="AS9" s="1409"/>
      <c r="AT9" s="1406"/>
      <c r="AU9" s="2270"/>
      <c r="AW9" s="516"/>
      <c r="AX9" s="516"/>
      <c r="AY9" s="516"/>
      <c r="AZ9" s="516"/>
      <c r="BA9" s="1171">
        <v>0</v>
      </c>
    </row>
    <row customHeight="1" ht="11.25" hidden="1">
      <c r="A10" s="1379"/>
      <c r="B10" s="1379"/>
      <c r="C10" s="1379"/>
      <c r="D10" s="1379"/>
      <c r="E10" s="2275"/>
      <c r="F10" s="2275"/>
      <c r="G10" s="2275"/>
      <c r="H10" s="2275"/>
      <c r="I10" s="2302"/>
      <c r="J10" s="2302"/>
      <c r="K10" s="2272"/>
      <c r="L10" s="1380"/>
      <c r="P10" s="2273"/>
      <c r="Q10" s="2273"/>
      <c r="R10" s="2363"/>
      <c r="S10" s="2358"/>
      <c r="T10" s="2361"/>
      <c r="U10" s="316"/>
      <c r="V10" s="1409"/>
      <c r="W10" s="1413"/>
      <c r="X10" s="2281"/>
      <c r="Y10" s="2123"/>
      <c r="Z10" s="2281"/>
      <c r="AA10" s="2123"/>
      <c r="AB10" s="2123"/>
      <c r="AC10" s="2342"/>
      <c r="AD10" s="2221"/>
      <c r="AE10" s="2343"/>
      <c r="AF10" s="2123"/>
      <c r="AG10" s="310"/>
      <c r="AH10" s="431"/>
      <c r="AI10" s="431" t="s">
        <v>615</v>
      </c>
      <c r="AJ10" s="1409"/>
      <c r="AK10" s="1409"/>
      <c r="AL10" s="1409"/>
      <c r="AM10" s="1409"/>
      <c r="AN10" s="1409"/>
      <c r="AO10" s="1512"/>
      <c r="AP10" s="1409"/>
      <c r="AQ10" s="1409"/>
      <c r="AR10" s="1409"/>
      <c r="AS10" s="1409"/>
      <c r="AT10" s="1406"/>
      <c r="AU10" s="2270"/>
      <c r="AW10" s="516"/>
      <c r="AX10" s="516"/>
      <c r="AY10" s="516"/>
      <c r="AZ10" s="516"/>
      <c r="BA10" s="1171">
        <v>0</v>
      </c>
    </row>
    <row customHeight="1" ht="11.25" hidden="1">
      <c r="A11" s="1379"/>
      <c r="B11" s="1379"/>
      <c r="C11" s="1379"/>
      <c r="D11" s="1379"/>
      <c r="E11" s="2275"/>
      <c r="F11" s="2275"/>
      <c r="G11" s="2275"/>
      <c r="H11" s="2275"/>
      <c r="I11" s="2302"/>
      <c r="J11" s="2302"/>
      <c r="K11" s="2272"/>
      <c r="L11" s="1380"/>
      <c r="P11" s="2273"/>
      <c r="Q11" s="2273"/>
      <c r="R11" s="2363"/>
      <c r="S11" s="2359"/>
      <c r="T11" s="2362"/>
      <c r="U11" s="316"/>
      <c r="V11" s="1409"/>
      <c r="W11" s="1412" t="str">
        <f>X8&amp;"-"&amp;Z8</f>
        <v>-</v>
      </c>
      <c r="X11" s="2282"/>
      <c r="Y11" s="2123"/>
      <c r="Z11" s="2282"/>
      <c r="AA11" s="2123"/>
      <c r="AB11" s="2123"/>
      <c r="AC11" s="328"/>
      <c r="AD11" s="330"/>
      <c r="AE11" s="431" t="s">
        <v>616</v>
      </c>
      <c r="AF11" s="1409"/>
      <c r="AG11" s="1409"/>
      <c r="AH11" s="1409"/>
      <c r="AI11" s="1409"/>
      <c r="AJ11" s="1409"/>
      <c r="AK11" s="1409"/>
      <c r="AL11" s="1409"/>
      <c r="AM11" s="1409"/>
      <c r="AN11" s="1409"/>
      <c r="AO11" s="1410" t="str">
        <f>AP8&amp;"-"&amp;AR8</f>
        <v>-</v>
      </c>
      <c r="AP11" s="1409"/>
      <c r="AQ11" s="1409"/>
      <c r="AR11" s="1409"/>
      <c r="AS11" s="1409"/>
      <c r="AT11" s="1365"/>
      <c r="AU11" s="2270"/>
      <c r="AW11" s="516"/>
      <c r="AX11" s="516" t="str">
        <f>IF(T11="","",T11)</f>
        <v/>
      </c>
      <c r="AY11" s="516"/>
      <c r="AZ11" s="516"/>
      <c r="BA11" s="1171">
        <v>0</v>
      </c>
    </row>
    <row customHeight="1" ht="11.25" hidden="1">
      <c r="A12" s="1379"/>
      <c r="B12" s="1379"/>
      <c r="C12" s="1379"/>
      <c r="D12" s="1379"/>
      <c r="E12" s="2275"/>
      <c r="F12" s="2275"/>
      <c r="G12" s="2275"/>
      <c r="H12" s="2275"/>
      <c r="I12" s="2302"/>
      <c r="J12" s="2272"/>
      <c r="K12" s="1379"/>
      <c r="L12" s="1380"/>
      <c r="P12" s="2273"/>
      <c r="Q12" s="2273"/>
      <c r="R12" s="372"/>
      <c r="S12" s="1294"/>
      <c r="T12" s="303" t="s">
        <v>617</v>
      </c>
      <c r="U12" s="383"/>
      <c r="V12" s="383"/>
      <c r="W12" s="383"/>
      <c r="X12" s="383"/>
      <c r="Y12" s="383"/>
      <c r="Z12" s="383"/>
      <c r="AA12" s="383"/>
      <c r="AB12" s="383"/>
      <c r="AC12" s="383"/>
      <c r="AD12" s="383"/>
      <c r="AE12" s="383"/>
      <c r="AF12" s="383"/>
      <c r="AG12" s="383"/>
      <c r="AH12" s="383"/>
      <c r="AI12" s="383"/>
      <c r="AJ12" s="383"/>
      <c r="AK12" s="383"/>
      <c r="AL12" s="383"/>
      <c r="AM12" s="383"/>
      <c r="AN12" s="383"/>
      <c r="AO12" s="383"/>
      <c r="AP12" s="383"/>
      <c r="AQ12" s="383"/>
      <c r="AR12" s="383"/>
      <c r="AS12" s="383"/>
      <c r="AT12" s="340"/>
      <c r="AU12" s="2271"/>
      <c r="AW12" s="516"/>
      <c r="AX12" s="516" t="str">
        <f>IF(T12="","",T12)</f>
        <v>Добавить строку</v>
      </c>
      <c r="AY12" s="516"/>
      <c r="AZ12" s="516"/>
      <c r="BA12" s="1171">
        <v>0</v>
      </c>
    </row>
    <row s="1658" customFormat="1" customHeight="1" ht="0.75" hidden="1">
      <c r="A13" s="1359"/>
      <c r="B13" s="1359"/>
      <c r="C13" s="1359"/>
      <c r="D13" s="1359"/>
      <c r="E13" s="2275"/>
      <c r="F13" s="2275"/>
      <c r="G13" s="2275"/>
      <c r="H13" s="2275"/>
      <c r="I13" s="2272"/>
      <c r="J13" s="1359"/>
      <c r="K13" s="1359"/>
      <c r="L13" s="1362"/>
      <c r="M13" s="526"/>
      <c r="N13" s="526"/>
      <c r="O13" s="526"/>
      <c r="P13" s="2273"/>
      <c r="Q13" s="1347"/>
      <c r="R13" s="372"/>
      <c r="S13" s="1402"/>
      <c r="T13" s="1403"/>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5"/>
      <c r="AW13" s="516"/>
      <c r="AX13" s="516" t="str">
        <f>IF(T13="","",T13)</f>
        <v/>
      </c>
      <c r="AY13" s="516"/>
      <c r="AZ13" s="516"/>
      <c r="BA13" s="527">
        <v>0</v>
      </c>
    </row>
    <row s="1658" customFormat="1" customHeight="1" ht="0.75" hidden="1">
      <c r="A14" s="1359"/>
      <c r="B14" s="1359"/>
      <c r="C14" s="1359"/>
      <c r="D14" s="1359"/>
      <c r="E14" s="2275"/>
      <c r="F14" s="2275"/>
      <c r="G14" s="2275"/>
      <c r="H14" s="2274"/>
      <c r="I14" s="1359"/>
      <c r="J14" s="1359"/>
      <c r="K14" s="1359"/>
      <c r="L14" s="1362"/>
      <c r="M14" s="1331"/>
      <c r="N14" s="1331"/>
      <c r="O14" s="534"/>
      <c r="P14" s="396"/>
      <c r="Q14" s="1360"/>
      <c r="R14" s="1417"/>
      <c r="S14" s="1402"/>
      <c r="T14" s="1403"/>
      <c r="U14" s="1404"/>
      <c r="V14" s="1404"/>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4"/>
      <c r="AR14" s="1404"/>
      <c r="AS14" s="1404"/>
      <c r="AT14" s="1404"/>
      <c r="AU14" s="1405"/>
      <c r="AW14" s="516"/>
      <c r="AX14" s="516" t="str">
        <f>IF(T14="","",T14)</f>
        <v/>
      </c>
      <c r="AY14" s="516"/>
      <c r="AZ14" s="516"/>
      <c r="BA14" s="527">
        <v>0</v>
      </c>
    </row>
    <row s="1658" customFormat="1" customHeight="1" ht="0.75" hidden="1">
      <c r="A15" s="1359"/>
      <c r="B15" s="1359"/>
      <c r="C15" s="1359"/>
      <c r="D15" s="1330"/>
      <c r="E15" s="2275"/>
      <c r="F15" s="2275"/>
      <c r="G15" s="2274"/>
      <c r="H15" s="1330"/>
      <c r="I15" s="1330"/>
      <c r="J15" s="1330"/>
      <c r="K15" s="1330"/>
      <c r="L15" s="1355"/>
      <c r="M15" s="1331"/>
      <c r="N15" s="1331"/>
      <c r="P15" s="1332"/>
      <c r="Q15" s="1333"/>
      <c r="R15" s="1332"/>
      <c r="S15" s="1338"/>
      <c r="T15" s="1341" t="s">
        <v>268</v>
      </c>
      <c r="U15" s="1340"/>
      <c r="V15" s="1340"/>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R15" s="1340"/>
      <c r="AS15" s="1340"/>
      <c r="AT15" s="1340"/>
      <c r="AU15" s="1340"/>
      <c r="AW15" s="805"/>
      <c r="AX15" s="805" t="str">
        <f>IF(T15="","",T15)</f>
        <v>Добавить источник для дифференциации</v>
      </c>
      <c r="AY15" s="805"/>
      <c r="AZ15" s="805"/>
      <c r="BA15" s="534">
        <v>0</v>
      </c>
    </row>
    <row s="1658" customFormat="1" customHeight="1" ht="0.75" hidden="1">
      <c r="A16" s="1359"/>
      <c r="B16" s="1359"/>
      <c r="C16" s="1330"/>
      <c r="D16" s="1330"/>
      <c r="E16" s="2275"/>
      <c r="F16" s="2274"/>
      <c r="G16" s="1330"/>
      <c r="H16" s="1330"/>
      <c r="I16" s="1330"/>
      <c r="J16" s="1330"/>
      <c r="K16" s="1330"/>
      <c r="L16" s="1355"/>
      <c r="M16" s="1337"/>
      <c r="N16" s="1337"/>
      <c r="P16" s="1332"/>
      <c r="Q16" s="1333"/>
      <c r="R16" s="1332"/>
      <c r="S16" s="1338"/>
      <c r="T16" s="1341" t="s">
        <v>269</v>
      </c>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W16" s="805"/>
      <c r="AX16" s="805" t="str">
        <f>IF(T16="","",T16)</f>
        <v>Добавить централизованную систему для дифференциации</v>
      </c>
      <c r="AY16" s="805"/>
      <c r="AZ16" s="805"/>
      <c r="BA16" s="534">
        <v>0</v>
      </c>
    </row>
    <row s="1658" customFormat="1" customHeight="1" ht="0.75" hidden="1">
      <c r="A17" s="1359"/>
      <c r="B17" s="1359"/>
      <c r="C17" s="1359"/>
      <c r="D17" s="1359"/>
      <c r="E17" s="2274"/>
      <c r="F17" s="1359"/>
      <c r="G17" s="1359"/>
      <c r="H17" s="1359"/>
      <c r="I17" s="1359"/>
      <c r="J17" s="1359"/>
      <c r="K17" s="1359"/>
      <c r="L17" s="1362"/>
      <c r="M17" s="1337"/>
      <c r="N17" s="1337"/>
      <c r="O17" s="534"/>
      <c r="P17" s="396"/>
      <c r="Q17" s="1360"/>
      <c r="R17" s="396"/>
      <c r="S17" s="1338"/>
      <c r="T17" s="1341" t="s">
        <v>330</v>
      </c>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W17" s="516"/>
      <c r="AX17" s="516" t="str">
        <f>IF(T17="","",T17)</f>
        <v>Добавить территорию для дифференциации</v>
      </c>
      <c r="AY17" s="516"/>
      <c r="AZ17" s="516"/>
      <c r="BA17" s="527">
        <v>0</v>
      </c>
    </row>
    <row customHeight="1" ht="14.25" hidden="1">
      <c r="AA18" s="343"/>
      <c r="AS18" s="343"/>
      <c r="BA18" s="1171">
        <v>0</v>
      </c>
    </row>
    <row customHeight="1" ht="14.25" hidden="1">
      <c r="AB19" s="1340" t="s">
        <v>19</v>
      </c>
      <c r="AC19" s="1517"/>
      <c r="AD19" s="564">
        <v>1</v>
      </c>
      <c r="AE19" s="1518"/>
      <c r="AF19" s="1340" t="s">
        <v>19</v>
      </c>
      <c r="AG19" s="1517"/>
      <c r="AH19" s="564">
        <v>1</v>
      </c>
      <c r="AI19" s="1518"/>
      <c r="AJ19" s="1340" t="s">
        <v>19</v>
      </c>
      <c r="AK19" s="1519"/>
      <c r="AL19" s="564">
        <v>1</v>
      </c>
      <c r="AM19" s="1522"/>
      <c r="AN19" s="1419"/>
      <c r="AO19" s="1420"/>
      <c r="AP19" s="1752"/>
      <c r="AQ19" s="1476" t="s">
        <v>64</v>
      </c>
      <c r="AR19" s="1752"/>
      <c r="AS19" s="1476" t="s">
        <v>64</v>
      </c>
      <c r="BA19" s="1171">
        <v>0</v>
      </c>
    </row>
    <row customHeight="1" ht="14.25" hidden="1">
      <c r="AV20" s="512"/>
      <c r="AW20" s="512"/>
      <c r="AX20" s="512"/>
      <c r="AY20" s="512"/>
      <c r="AZ20" s="512"/>
      <c r="BA20" s="1171">
        <v>0</v>
      </c>
    </row>
    <row customHeight="1" ht="14.25" hidden="1">
      <c r="O21" s="1383" t="s">
        <v>567</v>
      </c>
      <c r="X21" s="1361"/>
      <c r="Z21" s="1361"/>
      <c r="AA21" s="343"/>
      <c r="AP21" s="1361"/>
      <c r="AR21" s="1361"/>
      <c r="AS21" s="343"/>
      <c r="AV21" s="512"/>
      <c r="AW21" s="512"/>
      <c r="AX21" s="512"/>
      <c r="AY21" s="512"/>
      <c r="AZ21" s="512"/>
      <c r="BA21" s="1171">
        <v>0</v>
      </c>
    </row>
    <row customHeight="1" ht="14.25" hidden="1">
      <c r="AA22" s="343"/>
      <c r="AS22" s="343"/>
      <c r="AV22" s="512"/>
      <c r="AW22" s="512"/>
      <c r="AX22" s="512"/>
      <c r="AY22" s="512"/>
      <c r="AZ22" s="512"/>
      <c r="BA22" s="1171">
        <v>0</v>
      </c>
    </row>
    <row s="1525" customFormat="1" customHeight="1" ht="14.25" hidden="1">
      <c r="M23" s="1524"/>
      <c r="N23" s="1524"/>
      <c r="O23" s="1525" t="s">
        <v>568</v>
      </c>
      <c r="P23" s="1524"/>
      <c r="Q23" s="1526"/>
      <c r="R23" s="1526"/>
      <c r="Y23" s="1523" t="s">
        <v>570</v>
      </c>
      <c r="AA23" s="1523" t="s">
        <v>571</v>
      </c>
      <c r="AB23" s="1523" t="s">
        <v>618</v>
      </c>
      <c r="AE23" s="1523" t="s">
        <v>619</v>
      </c>
      <c r="AF23" s="1523" t="s">
        <v>618</v>
      </c>
      <c r="AI23" s="1523" t="s">
        <v>620</v>
      </c>
      <c r="AJ23" s="1523" t="s">
        <v>618</v>
      </c>
      <c r="AM23" s="1523" t="s">
        <v>621</v>
      </c>
      <c r="AQ23" s="1523" t="s">
        <v>570</v>
      </c>
      <c r="AS23" s="1523" t="s">
        <v>571</v>
      </c>
      <c r="AV23" s="1527"/>
      <c r="AW23" s="1527"/>
      <c r="AX23" s="1527"/>
      <c r="AY23" s="1527"/>
      <c r="AZ23" s="1527"/>
      <c r="BA23" s="1523">
        <v>0</v>
      </c>
    </row>
    <row customHeight="1" ht="14.25" hidden="1">
      <c r="O24" s="1380"/>
      <c r="AV24" s="512"/>
      <c r="AW24" s="512"/>
      <c r="AX24" s="512"/>
      <c r="AY24" s="512"/>
      <c r="AZ24" s="512"/>
      <c r="BA24" s="1171">
        <v>0</v>
      </c>
    </row>
    <row customHeight="1" ht="14.25" hidden="1">
      <c r="O25" s="1380"/>
      <c r="AV25" s="512"/>
      <c r="AW25" s="512"/>
      <c r="AX25" s="512"/>
      <c r="AY25" s="512"/>
      <c r="AZ25" s="512"/>
      <c r="BA25" s="1171">
        <v>0</v>
      </c>
    </row>
    <row customHeight="1" ht="14.699999999999998">
      <c r="Q26" s="307"/>
      <c r="R26" s="392"/>
      <c r="S26" s="1291"/>
      <c r="T26" s="379"/>
      <c r="U26" s="379"/>
      <c r="V26" s="525"/>
      <c r="W26" s="525"/>
      <c r="X26" s="525"/>
      <c r="Y26" s="525"/>
      <c r="Z26" s="525"/>
      <c r="AA26" s="525"/>
      <c r="AB26" s="525"/>
      <c r="AC26" s="525"/>
      <c r="AD26" s="525"/>
      <c r="AE26" s="525"/>
      <c r="AF26" s="525"/>
      <c r="AG26" s="525"/>
      <c r="AH26" s="525"/>
      <c r="AI26" s="525"/>
      <c r="AJ26" s="525"/>
      <c r="AK26" s="525"/>
      <c r="AL26" s="525"/>
      <c r="AM26" s="525"/>
      <c r="AN26" s="525"/>
      <c r="AO26" s="525"/>
      <c r="AP26" s="525"/>
      <c r="AQ26" s="525"/>
      <c r="AR26" s="525"/>
      <c r="AS26" s="525"/>
      <c r="BA26" s="1171">
        <v>14</v>
      </c>
    </row>
    <row customHeight="1" ht="27.299999999999997">
      <c r="Q27" s="307"/>
      <c r="R27" s="392"/>
      <c r="S27" s="226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4"/>
      <c r="U27" s="2264"/>
      <c r="V27" s="2264"/>
      <c r="W27" s="2264"/>
      <c r="X27" s="2264"/>
      <c r="Y27" s="2264"/>
      <c r="Z27" s="2264"/>
      <c r="AA27" s="2264"/>
      <c r="AB27" s="2264"/>
      <c r="AC27" s="2264"/>
      <c r="AD27" s="2264"/>
      <c r="AE27" s="2264"/>
      <c r="AF27" s="2264"/>
      <c r="AG27" s="2264"/>
      <c r="AH27" s="2264"/>
      <c r="AI27" s="2264"/>
      <c r="AJ27" s="2264"/>
      <c r="AK27" s="2264"/>
      <c r="AL27" s="2264"/>
      <c r="AM27" s="2264"/>
      <c r="AN27" s="2264"/>
      <c r="AO27" s="2264"/>
      <c r="AP27" s="2264"/>
      <c r="AQ27" s="2264"/>
      <c r="AR27" s="2264"/>
      <c r="AS27" s="1259"/>
      <c r="BA27" s="1171">
        <v>26</v>
      </c>
    </row>
    <row customHeight="1" ht="14.699999999999998">
      <c r="Q28" s="307"/>
      <c r="R28" s="392"/>
      <c r="S28" s="2265" t="str">
        <f>IF(org=0,"Не определено",org)</f>
        <v>КГУП "Примтеплоэнерго"</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1259"/>
      <c r="BA28" s="1171">
        <v>14</v>
      </c>
    </row>
    <row customHeight="1" ht="14.25">
      <c r="Q29" s="307"/>
      <c r="R29" s="392"/>
      <c r="S29" s="1291"/>
      <c r="T29" s="379"/>
      <c r="U29" s="379"/>
      <c r="V29" s="338"/>
      <c r="W29" s="338"/>
      <c r="X29" s="338"/>
      <c r="Y29" s="338"/>
      <c r="Z29" s="338"/>
      <c r="AA29" s="338"/>
      <c r="AB29" s="338"/>
      <c r="AC29" s="338"/>
      <c r="AD29" s="338"/>
      <c r="AE29" s="338"/>
      <c r="AF29" s="338"/>
      <c r="AG29" s="338"/>
      <c r="AH29" s="338"/>
      <c r="AI29" s="338"/>
      <c r="AJ29" s="338"/>
      <c r="AK29" s="338"/>
      <c r="AL29" s="338"/>
      <c r="AM29" s="338"/>
      <c r="AN29" s="338"/>
      <c r="AO29" s="338"/>
      <c r="AP29" s="338"/>
      <c r="AQ29" s="338"/>
      <c r="AR29" s="338"/>
      <c r="AS29" s="338"/>
      <c r="AT29" s="525"/>
      <c r="BA29" s="1171">
        <v>0</v>
      </c>
    </row>
    <row s="1869" customFormat="1" customHeight="1" ht="25.5">
      <c r="A30" s="1384"/>
      <c r="B30" s="1384"/>
      <c r="C30" s="1384"/>
      <c r="D30" s="1384"/>
      <c r="E30" s="1384"/>
      <c r="F30" s="1384"/>
      <c r="G30" s="1384"/>
      <c r="H30" s="1384"/>
      <c r="I30" s="1384"/>
      <c r="J30" s="1384"/>
      <c r="K30" s="1384"/>
      <c r="L30" s="1385"/>
      <c r="M30" s="1384"/>
      <c r="N30" s="1384"/>
      <c r="O30" s="1384"/>
      <c r="P30" s="1384"/>
      <c r="Q30" s="1384"/>
      <c r="S30" s="2266" t="s">
        <v>42</v>
      </c>
      <c r="T30" s="2266"/>
      <c r="U30" s="1388"/>
      <c r="V30" s="2267" t="str">
        <f>IF(TITLE_NAME_OR_PR_CHANGE="",IF(TITLE_NAME_OR_PR="","",TITLE_NAME_OR_PR),TITLE_NAME_OR_PR_CHANGE)</f>
        <v>Агентство по тарифам Приморского края</v>
      </c>
      <c r="W30" s="2267"/>
      <c r="X30" s="2267"/>
      <c r="Y30" s="2267"/>
      <c r="Z30" s="2267"/>
      <c r="AA30" s="342"/>
      <c r="AB30" s="2267" t="str">
        <f>IF(TITLE_NAME_OR_PR_CHANGE="",IF(TITLE_NAME_OR_PR="","",TITLE_NAME_OR_PR),TITLE_NAME_OR_PR_CHANGE)</f>
        <v>Агентство по тарифам Приморского края</v>
      </c>
      <c r="AC30" s="2267"/>
      <c r="AD30" s="2267"/>
      <c r="AE30" s="2267"/>
      <c r="AF30" s="2267"/>
      <c r="AG30" s="2267"/>
      <c r="AH30" s="2267"/>
      <c r="AI30" s="2267"/>
      <c r="AJ30" s="2267"/>
      <c r="AK30" s="2267"/>
      <c r="AL30" s="2267"/>
      <c r="AM30" s="2267"/>
      <c r="AN30" s="2267"/>
      <c r="AO30" s="2267"/>
      <c r="AP30" s="2267"/>
      <c r="AQ30" s="2267"/>
      <c r="AR30" s="2267"/>
      <c r="AS30" s="342"/>
      <c r="AT30" s="342"/>
      <c r="AU30" s="296"/>
      <c r="AV30" s="384"/>
      <c r="AW30" s="384"/>
      <c r="AX30" s="384"/>
      <c r="AY30" s="384"/>
      <c r="AZ30" s="384"/>
      <c r="BA30" s="434">
        <v>0</v>
      </c>
    </row>
    <row s="1869" customFormat="1" customHeight="1" ht="18.75">
      <c r="A31" s="1384"/>
      <c r="B31" s="1384"/>
      <c r="C31" s="1384"/>
      <c r="D31" s="1384"/>
      <c r="E31" s="1384"/>
      <c r="F31" s="1384"/>
      <c r="G31" s="1384"/>
      <c r="H31" s="1384"/>
      <c r="I31" s="1384"/>
      <c r="J31" s="1384"/>
      <c r="K31" s="1384"/>
      <c r="L31" s="1385"/>
      <c r="M31" s="1384"/>
      <c r="N31" s="1384"/>
      <c r="O31" s="1384"/>
      <c r="P31" s="1384"/>
      <c r="Q31" s="1384"/>
      <c r="S31" s="2266" t="s">
        <v>573</v>
      </c>
      <c r="T31" s="2266"/>
      <c r="U31" s="1388"/>
      <c r="V31" s="2280" t="str">
        <f>IF(TITLE_DATE_PR_CHANGE="",IF(TITLE_DATE_PR="","",TITLE_DATE_PR),TITLE_DATE_PR_CHANGE)</f>
        <v>45910</v>
      </c>
      <c r="W31" s="2280"/>
      <c r="X31" s="2280"/>
      <c r="Y31" s="2280"/>
      <c r="Z31" s="2280"/>
      <c r="AA31" s="342"/>
      <c r="AB31" s="2280" t="str">
        <f>IF(TITLE_DATE_PR_CHANGE="",IF(TITLE_DATE_PR="","",TITLE_DATE_PR),TITLE_DATE_PR_CHANGE)</f>
        <v>45910</v>
      </c>
      <c r="AC31" s="2280"/>
      <c r="AD31" s="2280"/>
      <c r="AE31" s="2280"/>
      <c r="AF31" s="2280"/>
      <c r="AG31" s="2280"/>
      <c r="AH31" s="2280"/>
      <c r="AI31" s="2280"/>
      <c r="AJ31" s="2280"/>
      <c r="AK31" s="2280"/>
      <c r="AL31" s="2280"/>
      <c r="AM31" s="2280"/>
      <c r="AN31" s="2280"/>
      <c r="AO31" s="2280"/>
      <c r="AP31" s="2280"/>
      <c r="AQ31" s="2280"/>
      <c r="AR31" s="2280"/>
      <c r="AS31" s="342"/>
      <c r="AT31" s="342"/>
      <c r="AU31" s="296"/>
      <c r="AV31" s="384"/>
      <c r="AW31" s="384"/>
      <c r="AX31" s="384"/>
      <c r="AY31" s="384"/>
      <c r="AZ31" s="384"/>
      <c r="BA31" s="434">
        <v>0</v>
      </c>
    </row>
    <row s="1869" customFormat="1" customHeight="1" ht="18.75">
      <c r="A32" s="1384"/>
      <c r="B32" s="1384"/>
      <c r="C32" s="1384"/>
      <c r="D32" s="1384"/>
      <c r="E32" s="1384"/>
      <c r="F32" s="1384"/>
      <c r="G32" s="1384"/>
      <c r="H32" s="1384"/>
      <c r="I32" s="1384"/>
      <c r="J32" s="1384"/>
      <c r="K32" s="1384"/>
      <c r="L32" s="1385"/>
      <c r="M32" s="1384"/>
      <c r="N32" s="1384"/>
      <c r="O32" s="1384"/>
      <c r="P32" s="1384"/>
      <c r="Q32" s="1384"/>
      <c r="S32" s="2266" t="s">
        <v>574</v>
      </c>
      <c r="T32" s="2266"/>
      <c r="U32" s="1388"/>
      <c r="V32" s="2267" t="str">
        <f>IF(TITLE_NUMBER_PR_CHANGE="",IF(TITLE_NUMBER_PR="","",TITLE_NUMBER_PR),TITLE_NUMBER_PR_CHANGE)</f>
        <v>37/2</v>
      </c>
      <c r="W32" s="2267"/>
      <c r="X32" s="2267"/>
      <c r="Y32" s="2267"/>
      <c r="Z32" s="2267"/>
      <c r="AA32" s="342"/>
      <c r="AB32" s="2267" t="str">
        <f>IF(TITLE_NUMBER_PR_CHANGE="",IF(TITLE_NUMBER_PR="","",TITLE_NUMBER_PR),TITLE_NUMBER_PR_CHANGE)</f>
        <v>37/2</v>
      </c>
      <c r="AC32" s="2267"/>
      <c r="AD32" s="2267"/>
      <c r="AE32" s="2267"/>
      <c r="AF32" s="2267"/>
      <c r="AG32" s="2267"/>
      <c r="AH32" s="2267"/>
      <c r="AI32" s="2267"/>
      <c r="AJ32" s="2267"/>
      <c r="AK32" s="2267"/>
      <c r="AL32" s="2267"/>
      <c r="AM32" s="2267"/>
      <c r="AN32" s="2267"/>
      <c r="AO32" s="2267"/>
      <c r="AP32" s="2267"/>
      <c r="AQ32" s="2267"/>
      <c r="AR32" s="2267"/>
      <c r="AS32" s="342"/>
      <c r="AT32" s="342"/>
      <c r="AU32" s="296"/>
      <c r="AV32" s="384"/>
      <c r="AW32" s="384"/>
      <c r="AX32" s="384"/>
      <c r="AY32" s="384"/>
      <c r="AZ32" s="384"/>
      <c r="BA32" s="434">
        <v>0</v>
      </c>
    </row>
    <row s="1869" customFormat="1" customHeight="1" ht="18.75">
      <c r="A33" s="1384"/>
      <c r="B33" s="1384"/>
      <c r="C33" s="1384"/>
      <c r="D33" s="1384"/>
      <c r="E33" s="1384"/>
      <c r="F33" s="1384"/>
      <c r="G33" s="1384"/>
      <c r="H33" s="1384"/>
      <c r="I33" s="1384"/>
      <c r="J33" s="1384"/>
      <c r="K33" s="1384"/>
      <c r="L33" s="1385"/>
      <c r="M33" s="1384"/>
      <c r="N33" s="1384"/>
      <c r="O33" s="1384"/>
      <c r="P33" s="1384"/>
      <c r="Q33" s="1384"/>
      <c r="S33" s="2266" t="s">
        <v>44</v>
      </c>
      <c r="T33" s="2266"/>
      <c r="U33" s="1388"/>
      <c r="V33" s="2267" t="str">
        <f>IF(TITLE_IST_PUB_CHANGE="",IF(TITLE_IST_PUB="","",TITLE_IST_PUB),TITLE_IST_PUB_CHANGE)</f>
        <v>http://pravo.gov.ru</v>
      </c>
      <c r="W33" s="2267"/>
      <c r="X33" s="2267"/>
      <c r="Y33" s="2267"/>
      <c r="Z33" s="2267"/>
      <c r="AA33" s="342"/>
      <c r="AB33" s="2267" t="str">
        <f>IF(TITLE_IST_PUB_CHANGE="",IF(TITLE_IST_PUB="","",TITLE_IST_PUB),TITLE_IST_PUB_CHANGE)</f>
        <v>http://pravo.gov.ru</v>
      </c>
      <c r="AC33" s="2267"/>
      <c r="AD33" s="2267"/>
      <c r="AE33" s="2267"/>
      <c r="AF33" s="2267"/>
      <c r="AG33" s="2267"/>
      <c r="AH33" s="2267"/>
      <c r="AI33" s="2267"/>
      <c r="AJ33" s="2267"/>
      <c r="AK33" s="2267"/>
      <c r="AL33" s="2267"/>
      <c r="AM33" s="2267"/>
      <c r="AN33" s="2267"/>
      <c r="AO33" s="2267"/>
      <c r="AP33" s="2267"/>
      <c r="AQ33" s="2267"/>
      <c r="AR33" s="2267"/>
      <c r="AS33" s="342"/>
      <c r="AT33" s="342"/>
      <c r="AU33" s="296"/>
      <c r="AV33" s="384"/>
      <c r="AW33" s="384"/>
      <c r="AX33" s="384"/>
      <c r="AY33" s="384"/>
      <c r="AZ33" s="384"/>
      <c r="BA33" s="434">
        <v>0</v>
      </c>
    </row>
    <row customHeight="1" ht="14.25" hidden="1">
      <c r="Q34" s="307"/>
      <c r="R34" s="392"/>
      <c r="S34" s="1291"/>
      <c r="T34" s="379"/>
      <c r="U34" s="379"/>
      <c r="V34" s="338"/>
      <c r="W34" s="338"/>
      <c r="X34" s="338"/>
      <c r="Y34" s="338"/>
      <c r="Z34" s="338"/>
      <c r="AA34" s="338"/>
      <c r="AB34" s="338"/>
      <c r="AC34" s="338"/>
      <c r="AD34" s="338"/>
      <c r="AE34" s="338"/>
      <c r="AF34" s="338"/>
      <c r="AG34" s="338"/>
      <c r="AH34" s="338"/>
      <c r="AI34" s="338"/>
      <c r="AJ34" s="338"/>
      <c r="AK34" s="338"/>
      <c r="AL34" s="338"/>
      <c r="AM34" s="338"/>
      <c r="AN34" s="338"/>
      <c r="AO34" s="338"/>
      <c r="AP34" s="338"/>
      <c r="AQ34" s="338"/>
      <c r="AR34" s="338"/>
      <c r="AS34" s="338"/>
      <c r="AT34" s="525"/>
      <c r="BA34" s="1171">
        <v>0</v>
      </c>
    </row>
    <row s="1869" customFormat="1" customHeight="1" ht="18.75" hidden="1">
      <c r="A35" s="1384"/>
      <c r="B35" s="1384"/>
      <c r="C35" s="1384"/>
      <c r="D35" s="1384"/>
      <c r="E35" s="1384"/>
      <c r="F35" s="1384"/>
      <c r="G35" s="1384"/>
      <c r="H35" s="1384"/>
      <c r="I35" s="1384"/>
      <c r="J35" s="1384"/>
      <c r="K35" s="1384"/>
      <c r="L35" s="1385"/>
      <c r="M35" s="1384"/>
      <c r="N35" s="1384"/>
      <c r="O35" s="1384"/>
      <c r="P35" s="1384"/>
      <c r="Q35" s="1384"/>
      <c r="S35" s="2266" t="s">
        <v>573</v>
      </c>
      <c r="T35" s="2266"/>
      <c r="U35" s="1388"/>
      <c r="V35" s="2280" t="str">
        <f>IF(TITLE_DATE_PR_CHANGE="",IF(TITLE_DATE_PR="","",TITLE_DATE_PR),TITLE_DATE_PR_CHANGE)</f>
        <v>45910</v>
      </c>
      <c r="W35" s="2280"/>
      <c r="X35" s="2280"/>
      <c r="Y35" s="2280"/>
      <c r="Z35" s="2280"/>
      <c r="AA35" s="342"/>
      <c r="AB35" s="2280" t="str">
        <f>IF(TITLE_DATE_PR_CHANGE="",IF(TITLE_DATE_PR="","",TITLE_DATE_PR),TITLE_DATE_PR_CHANGE)</f>
        <v>45910</v>
      </c>
      <c r="AC35" s="2280"/>
      <c r="AD35" s="2280"/>
      <c r="AE35" s="2280"/>
      <c r="AF35" s="2280"/>
      <c r="AG35" s="2280"/>
      <c r="AH35" s="2280"/>
      <c r="AI35" s="2280"/>
      <c r="AJ35" s="2280"/>
      <c r="AK35" s="2280"/>
      <c r="AL35" s="2280"/>
      <c r="AM35" s="2280"/>
      <c r="AN35" s="2280"/>
      <c r="AO35" s="2280"/>
      <c r="AP35" s="2280"/>
      <c r="AQ35" s="2280"/>
      <c r="AR35" s="2280"/>
      <c r="AS35" s="342"/>
      <c r="AT35" s="342"/>
      <c r="AU35" s="296"/>
      <c r="AV35" s="384"/>
      <c r="AW35" s="384"/>
      <c r="AX35" s="384"/>
      <c r="AY35" s="384"/>
      <c r="AZ35" s="384"/>
      <c r="BA35" s="434">
        <v>0</v>
      </c>
    </row>
    <row s="1869" customFormat="1" customHeight="1" ht="18" hidden="1">
      <c r="A36" s="1384"/>
      <c r="B36" s="1384"/>
      <c r="C36" s="1384"/>
      <c r="D36" s="1384"/>
      <c r="E36" s="1384"/>
      <c r="F36" s="1384"/>
      <c r="G36" s="1384"/>
      <c r="H36" s="1384"/>
      <c r="I36" s="1384"/>
      <c r="J36" s="1384"/>
      <c r="K36" s="1384"/>
      <c r="L36" s="1385"/>
      <c r="M36" s="1384"/>
      <c r="N36" s="1384"/>
      <c r="O36" s="1384"/>
      <c r="P36" s="1384"/>
      <c r="Q36" s="1384"/>
      <c r="S36" s="2266" t="s">
        <v>574</v>
      </c>
      <c r="T36" s="2266"/>
      <c r="U36" s="1388"/>
      <c r="V36" s="2267" t="str">
        <f>IF(TITLE_NUMBER_PR_CHANGE="",IF(TITLE_NUMBER_PR="","",TITLE_NUMBER_PR),TITLE_NUMBER_PR_CHANGE)</f>
        <v>37/2</v>
      </c>
      <c r="W36" s="2267"/>
      <c r="X36" s="2267"/>
      <c r="Y36" s="2267"/>
      <c r="Z36" s="2267"/>
      <c r="AA36" s="342"/>
      <c r="AB36" s="2267" t="str">
        <f>IF(TITLE_NUMBER_PR_CHANGE="",IF(TITLE_NUMBER_PR="","",TITLE_NUMBER_PR),TITLE_NUMBER_PR_CHANGE)</f>
        <v>37/2</v>
      </c>
      <c r="AC36" s="2267"/>
      <c r="AD36" s="2267"/>
      <c r="AE36" s="2267"/>
      <c r="AF36" s="2267"/>
      <c r="AG36" s="2267"/>
      <c r="AH36" s="2267"/>
      <c r="AI36" s="2267"/>
      <c r="AJ36" s="2267"/>
      <c r="AK36" s="2267"/>
      <c r="AL36" s="2267"/>
      <c r="AM36" s="2267"/>
      <c r="AN36" s="2267"/>
      <c r="AO36" s="2267"/>
      <c r="AP36" s="2267"/>
      <c r="AQ36" s="2267"/>
      <c r="AR36" s="2267"/>
      <c r="AS36" s="342"/>
      <c r="AT36" s="342"/>
      <c r="AU36" s="296"/>
      <c r="AV36" s="384"/>
      <c r="AW36" s="384"/>
      <c r="AX36" s="384"/>
      <c r="AY36" s="384"/>
      <c r="AZ36" s="384"/>
      <c r="BA36" s="434">
        <v>0</v>
      </c>
    </row>
    <row s="1869" customFormat="1" customHeight="1" ht="1.05">
      <c r="A37" s="1384"/>
      <c r="B37" s="1384"/>
      <c r="C37" s="1384"/>
      <c r="D37" s="1384"/>
      <c r="E37" s="1384"/>
      <c r="F37" s="1384"/>
      <c r="G37" s="1384"/>
      <c r="H37" s="1384"/>
      <c r="I37" s="1384"/>
      <c r="J37" s="1384"/>
      <c r="K37" s="1384"/>
      <c r="L37" s="1385"/>
      <c r="M37" s="1384"/>
      <c r="N37" s="1384"/>
      <c r="O37" s="1384"/>
      <c r="P37" s="1384"/>
      <c r="Q37" s="1384"/>
      <c r="S37" s="339"/>
      <c r="T37" s="339"/>
      <c r="U37" s="1356"/>
      <c r="V37" s="342"/>
      <c r="W37" s="342"/>
      <c r="X37" s="342"/>
      <c r="Y37" s="342"/>
      <c r="Z37" s="342"/>
      <c r="AA37" s="294" t="s">
        <v>577</v>
      </c>
      <c r="AB37" s="342"/>
      <c r="AC37" s="342"/>
      <c r="AD37" s="342"/>
      <c r="AE37" s="342"/>
      <c r="AF37" s="342"/>
      <c r="AG37" s="342"/>
      <c r="AH37" s="342"/>
      <c r="AI37" s="342"/>
      <c r="AJ37" s="342"/>
      <c r="AK37" s="342"/>
      <c r="AL37" s="342"/>
      <c r="AM37" s="342"/>
      <c r="AN37" s="342"/>
      <c r="AO37" s="342"/>
      <c r="AP37" s="342"/>
      <c r="AQ37" s="342"/>
      <c r="AR37" s="342"/>
      <c r="AS37" s="294" t="s">
        <v>577</v>
      </c>
      <c r="AV37" s="384"/>
      <c r="AW37" s="384"/>
      <c r="AX37" s="384"/>
      <c r="AY37" s="384"/>
      <c r="AZ37" s="384"/>
      <c r="BA37" s="434">
        <v>1</v>
      </c>
    </row>
    <row customHeight="1" ht="14.699999999999998">
      <c r="Q38" s="307"/>
      <c r="R38" s="392"/>
      <c r="S38" s="1291"/>
      <c r="T38" s="379"/>
      <c r="U38" s="1260"/>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171">
        <v>14</v>
      </c>
    </row>
    <row customHeight="1" ht="14.699999999999998">
      <c r="Q39" s="307"/>
      <c r="R39" s="392"/>
      <c r="S39" s="2143" t="s">
        <v>453</v>
      </c>
      <c r="T39" s="2143"/>
      <c r="U39" s="2143"/>
      <c r="V39" s="2143"/>
      <c r="W39" s="2143"/>
      <c r="X39" s="2143"/>
      <c r="Y39" s="2143"/>
      <c r="Z39" s="2143"/>
      <c r="AA39" s="2143"/>
      <c r="AB39" s="2191"/>
      <c r="AC39" s="2191"/>
      <c r="AD39" s="2191"/>
      <c r="AE39" s="2191"/>
      <c r="AF39" s="2143"/>
      <c r="AG39" s="2143"/>
      <c r="AH39" s="2143"/>
      <c r="AI39" s="2143"/>
      <c r="AJ39" s="2143"/>
      <c r="AK39" s="2143"/>
      <c r="AL39" s="2143"/>
      <c r="AM39" s="2143"/>
      <c r="AN39" s="2143"/>
      <c r="AO39" s="2143"/>
      <c r="AP39" s="2143"/>
      <c r="AQ39" s="2143"/>
      <c r="AR39" s="2143"/>
      <c r="AS39" s="2143"/>
      <c r="AT39" s="2143"/>
      <c r="AU39" s="2143" t="s">
        <v>454</v>
      </c>
      <c r="BA39" s="1171">
        <v>14</v>
      </c>
    </row>
    <row customHeight="1" ht="14.699999999999998">
      <c r="Q40" s="307"/>
      <c r="R40" s="392"/>
      <c r="S40" s="2289" t="s">
        <v>91</v>
      </c>
      <c r="T40" s="2225" t="s">
        <v>622</v>
      </c>
      <c r="U40" s="317"/>
      <c r="V40" s="2291"/>
      <c r="W40" s="2291"/>
      <c r="X40" s="2291"/>
      <c r="Y40" s="2291"/>
      <c r="Z40" s="2292"/>
      <c r="AA40" s="2352" t="s">
        <v>580</v>
      </c>
      <c r="AB40" s="2344" t="s">
        <v>623</v>
      </c>
      <c r="AC40" s="2307"/>
      <c r="AD40" s="2307"/>
      <c r="AE40" s="2345"/>
      <c r="AF40" s="2307" t="s">
        <v>624</v>
      </c>
      <c r="AG40" s="2307"/>
      <c r="AH40" s="2307"/>
      <c r="AI40" s="2345"/>
      <c r="AJ40" s="2344" t="s">
        <v>625</v>
      </c>
      <c r="AK40" s="2307"/>
      <c r="AL40" s="2307"/>
      <c r="AM40" s="2345"/>
      <c r="AN40" s="2344" t="s">
        <v>579</v>
      </c>
      <c r="AO40" s="2307"/>
      <c r="AP40" s="2291"/>
      <c r="AQ40" s="2291"/>
      <c r="AR40" s="2292"/>
      <c r="AS40" s="2293" t="s">
        <v>580</v>
      </c>
      <c r="AT40" s="2296" t="s">
        <v>582</v>
      </c>
      <c r="AU40" s="2143"/>
      <c r="BA40" s="1171">
        <v>14</v>
      </c>
    </row>
    <row customHeight="1" ht="35.699999999999996">
      <c r="Q41" s="307"/>
      <c r="R41" s="392"/>
      <c r="S41" s="2289"/>
      <c r="T41" s="2225"/>
      <c r="U41" s="1047"/>
      <c r="V41" s="2143" t="s">
        <v>626</v>
      </c>
      <c r="W41" s="2143"/>
      <c r="X41" s="2310" t="s">
        <v>586</v>
      </c>
      <c r="Y41" s="2329"/>
      <c r="Z41" s="2330"/>
      <c r="AA41" s="2353"/>
      <c r="AB41" s="2346"/>
      <c r="AC41" s="2347"/>
      <c r="AD41" s="2347"/>
      <c r="AE41" s="2348"/>
      <c r="AF41" s="2347"/>
      <c r="AG41" s="2347"/>
      <c r="AH41" s="2347"/>
      <c r="AI41" s="2348"/>
      <c r="AJ41" s="2346"/>
      <c r="AK41" s="2347"/>
      <c r="AL41" s="2347"/>
      <c r="AM41" s="2347"/>
      <c r="AN41" s="2143" t="s">
        <v>626</v>
      </c>
      <c r="AO41" s="2143"/>
      <c r="AP41" s="2329" t="s">
        <v>586</v>
      </c>
      <c r="AQ41" s="2329"/>
      <c r="AR41" s="2330"/>
      <c r="AS41" s="2294"/>
      <c r="AT41" s="2297"/>
      <c r="AU41" s="2143"/>
      <c r="BA41" s="1171">
        <v>34</v>
      </c>
    </row>
    <row customHeight="1" ht="15">
      <c r="Q42" s="307"/>
      <c r="R42" s="392"/>
      <c r="S42" s="2289"/>
      <c r="T42" s="2225"/>
      <c r="U42" s="1047"/>
      <c r="V42" s="2356" t="str">
        <f>IF($AN$42&lt;&gt;"",$AN$42,"")</f>
        <v>тыс.руб./Гкал/ч</v>
      </c>
      <c r="W42" s="2356"/>
      <c r="X42" s="2311"/>
      <c r="Y42" s="2331"/>
      <c r="Z42" s="2332"/>
      <c r="AA42" s="2353"/>
      <c r="AB42" s="2346"/>
      <c r="AC42" s="2347"/>
      <c r="AD42" s="2347"/>
      <c r="AE42" s="2348"/>
      <c r="AF42" s="2347"/>
      <c r="AG42" s="2347"/>
      <c r="AH42" s="2347"/>
      <c r="AI42" s="2348"/>
      <c r="AJ42" s="2346"/>
      <c r="AK42" s="2347"/>
      <c r="AL42" s="2347"/>
      <c r="AM42" s="2347"/>
      <c r="AN42" s="2355" t="s">
        <v>627</v>
      </c>
      <c r="AO42" s="2355"/>
      <c r="AP42" s="2331"/>
      <c r="AQ42" s="2331"/>
      <c r="AR42" s="2332"/>
      <c r="AS42" s="2294"/>
      <c r="AT42" s="2297"/>
      <c r="AU42" s="2143"/>
      <c r="BA42" s="1171">
        <v>14</v>
      </c>
    </row>
    <row customHeight="1" ht="14.699999999999998">
      <c r="A43" s="1386"/>
      <c r="B43" s="1386" t="s">
        <v>204</v>
      </c>
      <c r="C43" s="1386" t="s">
        <v>205</v>
      </c>
      <c r="D43" s="1386" t="s">
        <v>206</v>
      </c>
      <c r="E43" s="1380" t="s">
        <v>587</v>
      </c>
      <c r="F43" s="1380" t="s">
        <v>588</v>
      </c>
      <c r="G43" s="1380" t="s">
        <v>589</v>
      </c>
      <c r="H43" s="1380" t="s">
        <v>590</v>
      </c>
      <c r="I43" s="1380" t="s">
        <v>591</v>
      </c>
      <c r="J43" s="1380" t="s">
        <v>592</v>
      </c>
      <c r="K43" s="1380" t="s">
        <v>593</v>
      </c>
      <c r="L43" s="1380" t="s">
        <v>568</v>
      </c>
      <c r="Q43" s="307"/>
      <c r="R43" s="392"/>
      <c r="S43" s="2289"/>
      <c r="T43" s="2225"/>
      <c r="U43" s="318"/>
      <c r="V43" s="1346" t="s">
        <v>628</v>
      </c>
      <c r="W43" s="1346" t="s">
        <v>629</v>
      </c>
      <c r="X43" s="1354" t="s">
        <v>596</v>
      </c>
      <c r="Y43" s="2286" t="s">
        <v>597</v>
      </c>
      <c r="Z43" s="2287"/>
      <c r="AA43" s="2354"/>
      <c r="AB43" s="2349"/>
      <c r="AC43" s="2350"/>
      <c r="AD43" s="2350"/>
      <c r="AE43" s="2351"/>
      <c r="AF43" s="2350"/>
      <c r="AG43" s="2350"/>
      <c r="AH43" s="2350"/>
      <c r="AI43" s="2351"/>
      <c r="AJ43" s="2349"/>
      <c r="AK43" s="2350"/>
      <c r="AL43" s="2350"/>
      <c r="AM43" s="2351"/>
      <c r="AN43" s="1876" t="s">
        <v>628</v>
      </c>
      <c r="AO43" s="1876" t="s">
        <v>629</v>
      </c>
      <c r="AP43" s="1354" t="s">
        <v>596</v>
      </c>
      <c r="AQ43" s="2286" t="s">
        <v>597</v>
      </c>
      <c r="AR43" s="2287"/>
      <c r="AS43" s="2295"/>
      <c r="AT43" s="2298"/>
      <c r="AU43" s="2143"/>
      <c r="BA43" s="1171">
        <v>14</v>
      </c>
    </row>
    <row s="1657" customFormat="1" customHeight="1" ht="11.25" hidden="1">
      <c r="A44" s="1386"/>
      <c r="B44" s="1386"/>
      <c r="C44" s="1386"/>
      <c r="D44" s="1386"/>
      <c r="E44" s="1386"/>
      <c r="F44" s="1386"/>
      <c r="G44" s="1386"/>
      <c r="H44" s="1386"/>
      <c r="I44" s="1386"/>
      <c r="J44" s="1386"/>
      <c r="K44" s="1386"/>
      <c r="L44" s="1380"/>
      <c r="M44" s="1378"/>
      <c r="N44" s="1378"/>
      <c r="O44" s="1378"/>
      <c r="P44" s="526"/>
      <c r="Q44" s="1270"/>
      <c r="R44" s="1270">
        <v>1</v>
      </c>
      <c r="S44" s="1293" t="s">
        <v>141</v>
      </c>
      <c r="T44" s="1271" t="s">
        <v>107</v>
      </c>
      <c r="U44" s="1261" t="str">
        <f>OFFSET(U44,0,-1)</f>
        <v>2</v>
      </c>
      <c r="V44" s="1351">
        <f>OFFSET(V44,0,-1)+1</f>
        <v>3</v>
      </c>
      <c r="W44" s="1351">
        <f>OFFSET(W44,0,-1)+1</f>
        <v>4</v>
      </c>
      <c r="X44" s="1351">
        <f>OFFSET(X44,0,-1)+1</f>
        <v>5</v>
      </c>
      <c r="Y44" s="2288">
        <f>OFFSET(Y44,0,-1)+1</f>
        <v>6</v>
      </c>
      <c r="Z44" s="2288"/>
      <c r="AA44" s="1351">
        <f>OFFSET(AA44,0,-2)+1</f>
        <v>7</v>
      </c>
      <c r="AB44" s="1357">
        <f>OFFSET(AB44,0,-1)+1</f>
        <v>8</v>
      </c>
      <c r="AC44" s="1357"/>
      <c r="AD44" s="1357"/>
      <c r="AE44" s="1357"/>
      <c r="AF44" s="1351"/>
      <c r="AG44" s="1351"/>
      <c r="AH44" s="1351"/>
      <c r="AI44" s="1351"/>
      <c r="AJ44" s="1351"/>
      <c r="AK44" s="1351"/>
      <c r="AL44" s="1351"/>
      <c r="AM44" s="1351"/>
      <c r="AN44" s="1351">
        <f>OFFSET(AN44,0,-1)+1</f>
        <v>1</v>
      </c>
      <c r="AO44" s="1351">
        <f>OFFSET(AO44,0,-1)+1</f>
        <v>2</v>
      </c>
      <c r="AP44" s="1351">
        <f>OFFSET(AP44,0,-1)+1</f>
        <v>3</v>
      </c>
      <c r="AQ44" s="2288">
        <f>OFFSET(AQ44,0,-1)+1</f>
        <v>4</v>
      </c>
      <c r="AR44" s="2288"/>
      <c r="AS44" s="1351">
        <f>OFFSET(AS44,0,-2)+1</f>
        <v>5</v>
      </c>
      <c r="AT44" s="1261">
        <f>OFFSET(AT44,0,-1)</f>
        <v>5</v>
      </c>
      <c r="AU44" s="1351">
        <f>OFFSET(AU44,0,-1)+1</f>
        <v>6</v>
      </c>
      <c r="AV44" s="527"/>
      <c r="AW44" s="527"/>
      <c r="AX44" s="527"/>
      <c r="AY44" s="527"/>
      <c r="AZ44" s="527"/>
      <c r="BA44" s="512">
        <v>0</v>
      </c>
    </row>
    <row customHeight="1" ht="107.25">
      <c r="A45" s="1379" t="s">
        <v>264</v>
      </c>
      <c r="B45" s="1379"/>
      <c r="C45" s="1379"/>
      <c r="D45" s="1379"/>
      <c r="E45" s="2274">
        <v>1</v>
      </c>
      <c r="F45" s="1379"/>
      <c r="G45" s="1379"/>
      <c r="H45" s="1379"/>
      <c r="I45" s="1379"/>
      <c r="J45" s="1379"/>
      <c r="K45" s="1379"/>
      <c r="L45" s="1380"/>
      <c r="M45" s="1381"/>
      <c r="N45" s="1381"/>
      <c r="O45" s="1381"/>
      <c r="P45" s="1425"/>
      <c r="Q45" s="889"/>
      <c r="R45" s="371"/>
      <c r="S45" s="1352">
        <f>INDEX(PT_DIFFERENTIATION_NUM_NTAR,MATCH(A45,PT_DIFFERENTIATION_NTAR_ID,0))</f>
        <v>1</v>
      </c>
      <c r="T45" s="314" t="s">
        <v>192</v>
      </c>
      <c r="U45" s="316"/>
      <c r="V45" s="2259"/>
      <c r="W45" s="2259"/>
      <c r="X45" s="2259"/>
      <c r="Y45" s="2259"/>
      <c r="Z45" s="2259"/>
      <c r="AA45" s="2260"/>
      <c r="AB45" s="2258" t="str">
        <f>INDEX(PT_DIFFERENTIATION_NTAR,MATCH(A45,PT_DIFFERENTIATION_NTAR_ID,0))</f>
        <v>Расходы на проведение мероприятий по подключению объектов заявителей</v>
      </c>
      <c r="AC45" s="2259"/>
      <c r="AD45" s="2259"/>
      <c r="AE45" s="2259"/>
      <c r="AF45" s="2259"/>
      <c r="AG45" s="2259"/>
      <c r="AH45" s="2259"/>
      <c r="AI45" s="2259"/>
      <c r="AJ45" s="2259"/>
      <c r="AK45" s="2259"/>
      <c r="AL45" s="2259"/>
      <c r="AM45" s="2259"/>
      <c r="AN45" s="2259"/>
      <c r="AO45" s="2259"/>
      <c r="AP45" s="2259"/>
      <c r="AQ45" s="2259"/>
      <c r="AR45" s="2259"/>
      <c r="AS45" s="2259"/>
      <c r="AT45" s="2260"/>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16"/>
      <c r="AX45" s="516" t="str">
        <f>IF(T45="","",T45)</f>
        <v>Наименование тарифа</v>
      </c>
      <c r="AY45" s="516"/>
      <c r="AZ45" s="516"/>
      <c r="BA45" s="1171">
        <v>102</v>
      </c>
    </row>
    <row customHeight="1" ht="22.049999999999997">
      <c r="A46" s="1379" t="s">
        <v>264</v>
      </c>
      <c r="B46" s="1379" t="s">
        <v>265</v>
      </c>
      <c r="C46" s="1379"/>
      <c r="D46" s="1379"/>
      <c r="E46" s="2275"/>
      <c r="F46" s="2274">
        <v>1</v>
      </c>
      <c r="G46" s="1379"/>
      <c r="H46" s="1379"/>
      <c r="I46" s="1379"/>
      <c r="J46" s="1379"/>
      <c r="K46" s="1379"/>
      <c r="L46" s="1380"/>
      <c r="M46" s="1381"/>
      <c r="N46" s="1381"/>
      <c r="O46" s="1381"/>
      <c r="P46" s="1426"/>
      <c r="Q46" s="1427"/>
      <c r="R46" s="369"/>
      <c r="S46" s="1352" t="str">
        <f>INDEX(PT_DIFFERENTIATION_NUM_TER,MATCH(B46,PT_DIFFERENTIATION_TER_ID,0))</f>
        <v>1.1</v>
      </c>
      <c r="T46" s="324" t="s">
        <v>550</v>
      </c>
      <c r="U46" s="316"/>
      <c r="V46" s="2259"/>
      <c r="W46" s="2259"/>
      <c r="X46" s="2259"/>
      <c r="Y46" s="2259"/>
      <c r="Z46" s="2259"/>
      <c r="AA46" s="2260"/>
      <c r="AB46" s="2258" t="str">
        <f>INDEX(PT_DIFFERENTIATION_TER,MATCH(B46,PT_DIFFERENTIATION_TER_ID,0))</f>
        <v>Территория 1</v>
      </c>
      <c r="AC46" s="2259"/>
      <c r="AD46" s="2259"/>
      <c r="AE46" s="2259"/>
      <c r="AF46" s="2259"/>
      <c r="AG46" s="2259"/>
      <c r="AH46" s="2259"/>
      <c r="AI46" s="2259"/>
      <c r="AJ46" s="2259"/>
      <c r="AK46" s="2259"/>
      <c r="AL46" s="2259"/>
      <c r="AM46" s="2259"/>
      <c r="AN46" s="2259"/>
      <c r="AO46" s="2259"/>
      <c r="AP46" s="2259"/>
      <c r="AQ46" s="2259"/>
      <c r="AR46" s="2259"/>
      <c r="AS46" s="2259"/>
      <c r="AT46" s="2260"/>
      <c r="AU46" s="1274" t="s">
        <v>551</v>
      </c>
      <c r="AW46" s="516"/>
      <c r="AX46" s="516" t="str">
        <f>IF(T46="","",T46)</f>
        <v>Территория действия тарифа</v>
      </c>
      <c r="AY46" s="516"/>
      <c r="AZ46" s="516"/>
      <c r="BA46" s="1171">
        <v>21</v>
      </c>
    </row>
    <row customHeight="1" ht="24">
      <c r="A47" s="1379" t="s">
        <v>264</v>
      </c>
      <c r="B47" s="1379" t="s">
        <v>265</v>
      </c>
      <c r="C47" s="1379" t="s">
        <v>266</v>
      </c>
      <c r="D47" s="1379"/>
      <c r="E47" s="2275"/>
      <c r="F47" s="2275"/>
      <c r="G47" s="2274">
        <v>1</v>
      </c>
      <c r="H47" s="1379"/>
      <c r="I47" s="1379"/>
      <c r="J47" s="1379"/>
      <c r="K47" s="1379"/>
      <c r="L47" s="1380"/>
      <c r="M47" s="1381"/>
      <c r="N47" s="1381"/>
      <c r="O47" s="1381"/>
      <c r="P47" s="1428"/>
      <c r="Q47" s="1427"/>
      <c r="R47" s="369"/>
      <c r="S47" s="1352" t="str">
        <f>INDEX(PT_DIFFERENTIATION_NUM_CS,MATCH(C47,PT_DIFFERENTIATION_CS_ID,0))</f>
        <v>1.1.1</v>
      </c>
      <c r="T47" s="325" t="s">
        <v>552</v>
      </c>
      <c r="U47" s="316"/>
      <c r="V47" s="2259"/>
      <c r="W47" s="2259"/>
      <c r="X47" s="2259"/>
      <c r="Y47" s="2259"/>
      <c r="Z47" s="2259"/>
      <c r="AA47" s="2260"/>
      <c r="AB47" s="2258" t="str">
        <f>INDEX(PT_DIFFERENTIATION_CS,MATCH(C47,PT_DIFFERENTIATION_CS_ID,0))</f>
        <v>кп Горные Ключи Кировского муниципального округа</v>
      </c>
      <c r="AC47" s="2259"/>
      <c r="AD47" s="2259"/>
      <c r="AE47" s="2259"/>
      <c r="AF47" s="2259"/>
      <c r="AG47" s="2259"/>
      <c r="AH47" s="2259"/>
      <c r="AI47" s="2259"/>
      <c r="AJ47" s="2259"/>
      <c r="AK47" s="2259"/>
      <c r="AL47" s="2259"/>
      <c r="AM47" s="2259"/>
      <c r="AN47" s="2259"/>
      <c r="AO47" s="2259"/>
      <c r="AP47" s="2259"/>
      <c r="AQ47" s="2259"/>
      <c r="AR47" s="2259"/>
      <c r="AS47" s="2259"/>
      <c r="AT47" s="2260"/>
      <c r="AU47" s="1274" t="s">
        <v>553</v>
      </c>
      <c r="AW47" s="516"/>
      <c r="AX47" s="516" t="str">
        <f>IF(T47="","",T47)</f>
        <v>Наименование системы теплоснабжения </v>
      </c>
      <c r="AY47" s="516"/>
      <c r="AZ47" s="516"/>
      <c r="BA47" s="1171">
        <v>23</v>
      </c>
    </row>
    <row customHeight="1" ht="21">
      <c r="A48" s="1379" t="s">
        <v>264</v>
      </c>
      <c r="B48" s="1379" t="s">
        <v>265</v>
      </c>
      <c r="C48" s="1379" t="s">
        <v>266</v>
      </c>
      <c r="D48" s="1379" t="s">
        <v>267</v>
      </c>
      <c r="E48" s="2275"/>
      <c r="F48" s="2275"/>
      <c r="G48" s="2275"/>
      <c r="H48" s="2274">
        <v>1</v>
      </c>
      <c r="I48" s="1379"/>
      <c r="J48" s="1379"/>
      <c r="K48" s="1379"/>
      <c r="L48" s="1380"/>
      <c r="M48" s="1381"/>
      <c r="N48" s="1381"/>
      <c r="O48" s="1381"/>
      <c r="P48" s="1428"/>
      <c r="Q48" s="1427"/>
      <c r="R48" s="369"/>
      <c r="S48" s="1352" t="str">
        <f>INDEX(PT_DIFFERENTIATION_NUM_IST_TE,MATCH(D48,PT_DIFFERENTIATION_IST_TE_ID,0))</f>
        <v>1.1.1.1</v>
      </c>
      <c r="T48" s="326" t="s">
        <v>554</v>
      </c>
      <c r="U48" s="316"/>
      <c r="V48" s="2259"/>
      <c r="W48" s="2259"/>
      <c r="X48" s="2259"/>
      <c r="Y48" s="2259"/>
      <c r="Z48" s="2259"/>
      <c r="AA48" s="2260"/>
      <c r="AB48" s="2258" t="str">
        <f>INDEX(PT_DIFFERENTIATION_IST_TE,MATCH(D48,PT_DIFFERENTIATION_IST_TE_ID,0))</f>
        <v>без дифференциации</v>
      </c>
      <c r="AC48" s="2259"/>
      <c r="AD48" s="2259"/>
      <c r="AE48" s="2259"/>
      <c r="AF48" s="2259"/>
      <c r="AG48" s="2259"/>
      <c r="AH48" s="2259"/>
      <c r="AI48" s="2259"/>
      <c r="AJ48" s="2259"/>
      <c r="AK48" s="2259"/>
      <c r="AL48" s="2259"/>
      <c r="AM48" s="2259"/>
      <c r="AN48" s="2259"/>
      <c r="AO48" s="2259"/>
      <c r="AP48" s="2259"/>
      <c r="AQ48" s="2259"/>
      <c r="AR48" s="2259"/>
      <c r="AS48" s="2259"/>
      <c r="AT48" s="2260"/>
      <c r="AU48" s="1274" t="s">
        <v>555</v>
      </c>
      <c r="AW48" s="516"/>
      <c r="AX48" s="516" t="str">
        <f>IF(T48="","",T48)</f>
        <v>Источник тепловой энергии  </v>
      </c>
      <c r="AY48" s="516"/>
      <c r="AZ48" s="516"/>
      <c r="BA48" s="1171">
        <v>20</v>
      </c>
    </row>
    <row s="1658" customFormat="1" customHeight="1" ht="1.05">
      <c r="A49" s="1359" t="s">
        <v>264</v>
      </c>
      <c r="B49" s="1359" t="s">
        <v>265</v>
      </c>
      <c r="C49" s="1359" t="s">
        <v>266</v>
      </c>
      <c r="D49" s="1359" t="s">
        <v>267</v>
      </c>
      <c r="E49" s="2275"/>
      <c r="F49" s="2275"/>
      <c r="G49" s="2275"/>
      <c r="H49" s="2275"/>
      <c r="I49" s="2272" t="str">
        <f>S48&amp;".1"</f>
        <v>1.1.1.1.1</v>
      </c>
      <c r="J49" s="1359"/>
      <c r="K49" s="1359"/>
      <c r="L49" s="1362" t="s">
        <v>556</v>
      </c>
      <c r="M49" s="526"/>
      <c r="N49" s="526"/>
      <c r="O49" s="526"/>
      <c r="P49" s="2273">
        <v>1</v>
      </c>
      <c r="Q49" s="1347"/>
      <c r="R49" s="372"/>
      <c r="S49" s="1058"/>
      <c r="T49" s="1399"/>
      <c r="U49" s="1400"/>
      <c r="V49" s="2313"/>
      <c r="W49" s="2313"/>
      <c r="X49" s="2313"/>
      <c r="Y49" s="2313"/>
      <c r="Z49" s="2313"/>
      <c r="AA49" s="2314"/>
      <c r="AB49" s="2312"/>
      <c r="AC49" s="2313"/>
      <c r="AD49" s="2313"/>
      <c r="AE49" s="2313"/>
      <c r="AF49" s="2313"/>
      <c r="AG49" s="2313"/>
      <c r="AH49" s="2313"/>
      <c r="AI49" s="2313"/>
      <c r="AJ49" s="2313"/>
      <c r="AK49" s="2313"/>
      <c r="AL49" s="2313"/>
      <c r="AM49" s="2313"/>
      <c r="AN49" s="2313"/>
      <c r="AO49" s="2313"/>
      <c r="AP49" s="2313"/>
      <c r="AQ49" s="2313"/>
      <c r="AR49" s="2313"/>
      <c r="AS49" s="2313"/>
      <c r="AT49" s="2314"/>
      <c r="AU49" s="1401"/>
      <c r="AW49" s="516"/>
      <c r="AX49" s="516" t="str">
        <f>IF(T49="","",T49)</f>
        <v/>
      </c>
      <c r="AY49" s="516"/>
      <c r="AZ49" s="516"/>
      <c r="BA49" s="527">
        <v>1</v>
      </c>
    </row>
    <row s="1658" customFormat="1" customHeight="1" ht="1.05">
      <c r="A50" s="1359" t="s">
        <v>264</v>
      </c>
      <c r="B50" s="1359" t="s">
        <v>265</v>
      </c>
      <c r="C50" s="1359" t="s">
        <v>266</v>
      </c>
      <c r="D50" s="1359" t="s">
        <v>267</v>
      </c>
      <c r="E50" s="2275"/>
      <c r="F50" s="2275"/>
      <c r="G50" s="2275"/>
      <c r="H50" s="2275"/>
      <c r="I50" s="2302"/>
      <c r="J50" s="2272" t="str">
        <f>S48&amp;".1"</f>
        <v>1.1.1.1.1</v>
      </c>
      <c r="K50" s="1359"/>
      <c r="L50" s="1362"/>
      <c r="M50" s="526"/>
      <c r="N50" s="526"/>
      <c r="O50" s="526"/>
      <c r="P50" s="2273"/>
      <c r="Q50" s="2273">
        <v>1</v>
      </c>
      <c r="R50" s="373"/>
      <c r="S50" s="1058"/>
      <c r="T50" s="1415"/>
      <c r="U50" s="1400"/>
      <c r="V50" s="2313"/>
      <c r="W50" s="2313"/>
      <c r="X50" s="2313"/>
      <c r="Y50" s="2313"/>
      <c r="Z50" s="2313"/>
      <c r="AA50" s="2314"/>
      <c r="AB50" s="2312"/>
      <c r="AC50" s="2313"/>
      <c r="AD50" s="2313"/>
      <c r="AE50" s="2313"/>
      <c r="AF50" s="2313"/>
      <c r="AG50" s="2313"/>
      <c r="AH50" s="2313"/>
      <c r="AI50" s="2313"/>
      <c r="AJ50" s="2313"/>
      <c r="AK50" s="2313"/>
      <c r="AL50" s="2313"/>
      <c r="AM50" s="2313"/>
      <c r="AN50" s="2313"/>
      <c r="AO50" s="2313"/>
      <c r="AP50" s="2313"/>
      <c r="AQ50" s="2313"/>
      <c r="AR50" s="2313"/>
      <c r="AS50" s="2313"/>
      <c r="AT50" s="2314"/>
      <c r="AU50" s="1401"/>
      <c r="AW50" s="516"/>
      <c r="AX50" s="516" t="str">
        <f>IF(T50="","",T50)</f>
        <v/>
      </c>
      <c r="AY50" s="516"/>
      <c r="AZ50" s="516"/>
      <c r="BA50" s="527">
        <v>1</v>
      </c>
    </row>
    <row customHeight="1" ht="22.049999999999997">
      <c r="A51" s="1379" t="s">
        <v>264</v>
      </c>
      <c r="B51" s="1379" t="s">
        <v>265</v>
      </c>
      <c r="C51" s="1379" t="s">
        <v>266</v>
      </c>
      <c r="D51" s="1379" t="s">
        <v>267</v>
      </c>
      <c r="E51" s="2275"/>
      <c r="F51" s="2275"/>
      <c r="G51" s="2275"/>
      <c r="H51" s="2275"/>
      <c r="I51" s="2302"/>
      <c r="J51" s="2302"/>
      <c r="K51" s="2272" t="str">
        <f>S48&amp;".1"</f>
        <v>1.1.1.1.1</v>
      </c>
      <c r="L51" s="1380"/>
      <c r="P51" s="2273"/>
      <c r="Q51" s="2273"/>
      <c r="R51" s="373">
        <v>1</v>
      </c>
      <c r="S51" s="2357" t="str">
        <f>$K51</f>
        <v>1.1.1.1.1</v>
      </c>
      <c r="T51" s="2360" t="s">
        <v>630</v>
      </c>
      <c r="U51" s="316"/>
      <c r="V51" s="767"/>
      <c r="W51" s="1273"/>
      <c r="X51" s="1750"/>
      <c r="Y51" s="1475" t="s">
        <v>64</v>
      </c>
      <c r="Z51" s="1750"/>
      <c r="AA51" s="1475" t="s">
        <v>64</v>
      </c>
      <c r="AB51" s="2123" t="s">
        <v>19</v>
      </c>
      <c r="AC51" s="2342"/>
      <c r="AD51" s="2221">
        <v>1</v>
      </c>
      <c r="AE51" s="2364" t="s">
        <v>28</v>
      </c>
      <c r="AF51" s="2123" t="s">
        <v>19</v>
      </c>
      <c r="AG51" s="2342"/>
      <c r="AH51" s="2221">
        <v>1</v>
      </c>
      <c r="AI51" s="2364" t="s">
        <v>28</v>
      </c>
      <c r="AJ51" s="2123" t="s">
        <v>19</v>
      </c>
      <c r="AK51" s="327"/>
      <c r="AL51" s="1353">
        <v>1</v>
      </c>
      <c r="AM51" s="1418"/>
      <c r="AN51" s="767"/>
      <c r="AO51" s="1273">
        <v>1851.667</v>
      </c>
      <c r="AP51" s="2618">
        <v>45730.47684027778</v>
      </c>
      <c r="AQ51" s="1475" t="s">
        <v>64</v>
      </c>
      <c r="AR51" s="2618">
        <v>46022</v>
      </c>
      <c r="AS51" s="1475" t="s">
        <v>64</v>
      </c>
      <c r="AT51" s="1364"/>
      <c r="AU51" s="2269" t="s">
        <v>631</v>
      </c>
      <c r="AV51" s="527">
        <f>STRCHECKDATE(V54:AT54)</f>
      </c>
      <c r="AW51" s="516"/>
      <c r="AX51" s="516" t="str">
        <f>IF(T51="","",T51)</f>
        <v>Котельная</v>
      </c>
      <c r="AY51" s="516"/>
      <c r="AZ51" s="516"/>
      <c r="BA51" s="1171">
        <v>21</v>
      </c>
    </row>
    <row customHeight="1" ht="11.549999999999999">
      <c r="A52" s="1379" t="s">
        <v>264</v>
      </c>
      <c r="B52" s="1379"/>
      <c r="C52" s="1379"/>
      <c r="D52" s="1379"/>
      <c r="E52" s="2275"/>
      <c r="F52" s="2275"/>
      <c r="G52" s="2275"/>
      <c r="H52" s="2275"/>
      <c r="I52" s="2302"/>
      <c r="J52" s="2302"/>
      <c r="K52" s="2272"/>
      <c r="L52" s="1380"/>
      <c r="P52" s="2273"/>
      <c r="Q52" s="2273"/>
      <c r="R52" s="373"/>
      <c r="S52" s="2358"/>
      <c r="T52" s="2361"/>
      <c r="U52" s="316"/>
      <c r="V52" s="1409"/>
      <c r="W52" s="1512"/>
      <c r="X52" s="1409"/>
      <c r="Y52" s="1409"/>
      <c r="Z52" s="1409"/>
      <c r="AA52" s="1409"/>
      <c r="AB52" s="2123"/>
      <c r="AC52" s="2342"/>
      <c r="AD52" s="2221"/>
      <c r="AE52" s="2364"/>
      <c r="AF52" s="2123"/>
      <c r="AG52" s="2342"/>
      <c r="AH52" s="2221"/>
      <c r="AI52" s="2364"/>
      <c r="AJ52" s="2123"/>
      <c r="AK52" s="332"/>
      <c r="AL52" s="432"/>
      <c r="AM52" s="431" t="s">
        <v>614</v>
      </c>
      <c r="AN52" s="1409"/>
      <c r="AO52" s="1512"/>
      <c r="AP52" s="1409"/>
      <c r="AQ52" s="1409"/>
      <c r="AR52" s="1409"/>
      <c r="AS52" s="1409"/>
      <c r="AT52" s="1406"/>
      <c r="AU52" s="2270"/>
      <c r="AW52" s="516"/>
      <c r="AX52" s="516"/>
      <c r="AY52" s="516"/>
      <c r="AZ52" s="516"/>
      <c r="BA52" s="1171">
        <v>11</v>
      </c>
    </row>
    <row customHeight="1" ht="11.549999999999999">
      <c r="A53" s="1379" t="s">
        <v>264</v>
      </c>
      <c r="B53" s="1379"/>
      <c r="C53" s="1379"/>
      <c r="D53" s="1379"/>
      <c r="E53" s="2275"/>
      <c r="F53" s="2275"/>
      <c r="G53" s="2275"/>
      <c r="H53" s="2275"/>
      <c r="I53" s="2302"/>
      <c r="J53" s="2302"/>
      <c r="K53" s="2272"/>
      <c r="L53" s="1380"/>
      <c r="P53" s="2273"/>
      <c r="Q53" s="2273"/>
      <c r="R53" s="373"/>
      <c r="S53" s="2358"/>
      <c r="T53" s="2361"/>
      <c r="U53" s="316"/>
      <c r="V53" s="1409"/>
      <c r="W53" s="1512"/>
      <c r="X53" s="1409"/>
      <c r="Y53" s="1409"/>
      <c r="Z53" s="1409"/>
      <c r="AA53" s="1409"/>
      <c r="AB53" s="2123"/>
      <c r="AC53" s="2342"/>
      <c r="AD53" s="2221"/>
      <c r="AE53" s="2364"/>
      <c r="AF53" s="2123"/>
      <c r="AG53" s="310"/>
      <c r="AH53" s="431"/>
      <c r="AI53" s="431" t="s">
        <v>615</v>
      </c>
      <c r="AJ53" s="1409"/>
      <c r="AK53" s="1409"/>
      <c r="AL53" s="1409"/>
      <c r="AM53" s="1409"/>
      <c r="AN53" s="1409"/>
      <c r="AO53" s="1512"/>
      <c r="AP53" s="1409"/>
      <c r="AQ53" s="1409"/>
      <c r="AR53" s="1409"/>
      <c r="AS53" s="1409"/>
      <c r="AT53" s="1406"/>
      <c r="AU53" s="2270"/>
      <c r="AW53" s="516"/>
      <c r="AX53" s="516"/>
      <c r="AY53" s="516"/>
      <c r="AZ53" s="516"/>
      <c r="BA53" s="1171">
        <v>11</v>
      </c>
    </row>
    <row customHeight="1" ht="11.549999999999999">
      <c r="A54" s="1379" t="s">
        <v>264</v>
      </c>
      <c r="B54" s="1379" t="s">
        <v>265</v>
      </c>
      <c r="C54" s="1379" t="s">
        <v>266</v>
      </c>
      <c r="D54" s="1379" t="s">
        <v>267</v>
      </c>
      <c r="E54" s="2275"/>
      <c r="F54" s="2275"/>
      <c r="G54" s="2275"/>
      <c r="H54" s="2275"/>
      <c r="I54" s="2302"/>
      <c r="J54" s="2302"/>
      <c r="K54" s="2272"/>
      <c r="L54" s="1380"/>
      <c r="P54" s="2273"/>
      <c r="Q54" s="2273"/>
      <c r="R54" s="373"/>
      <c r="S54" s="2359"/>
      <c r="T54" s="2362"/>
      <c r="U54" s="316"/>
      <c r="V54" s="1409"/>
      <c r="W54" s="1410" t="str">
        <f>X51&amp;"-"&amp;Z51</f>
        <v>-</v>
      </c>
      <c r="X54" s="1409"/>
      <c r="Y54" s="1409"/>
      <c r="Z54" s="1409"/>
      <c r="AA54" s="1409"/>
      <c r="AB54" s="2123"/>
      <c r="AC54" s="328"/>
      <c r="AD54" s="330"/>
      <c r="AE54" s="431" t="s">
        <v>616</v>
      </c>
      <c r="AF54" s="1409"/>
      <c r="AG54" s="1409"/>
      <c r="AH54" s="1409"/>
      <c r="AI54" s="1409"/>
      <c r="AJ54" s="1409"/>
      <c r="AK54" s="1409"/>
      <c r="AL54" s="1409"/>
      <c r="AM54" s="1409"/>
      <c r="AN54" s="1409"/>
      <c r="AO54" s="1410" t="str">
        <f>AP51&amp;"-"&amp;AR51</f>
        <v>45730.47684027778-46022</v>
      </c>
      <c r="AP54" s="1409"/>
      <c r="AQ54" s="1409"/>
      <c r="AR54" s="1409"/>
      <c r="AS54" s="1409"/>
      <c r="AT54" s="1365"/>
      <c r="AU54" s="2270"/>
      <c r="AW54" s="516"/>
      <c r="AX54" s="516" t="str">
        <f>IF(T54="","",T54)</f>
        <v/>
      </c>
      <c r="AY54" s="516"/>
      <c r="AZ54" s="516"/>
      <c r="BA54" s="1171">
        <v>11</v>
      </c>
    </row>
    <row customHeight="1" ht="11.549999999999999">
      <c r="A55" s="1379" t="s">
        <v>264</v>
      </c>
      <c r="B55" s="1379" t="s">
        <v>265</v>
      </c>
      <c r="C55" s="1379" t="s">
        <v>266</v>
      </c>
      <c r="D55" s="1379" t="s">
        <v>267</v>
      </c>
      <c r="E55" s="2275"/>
      <c r="F55" s="2275"/>
      <c r="G55" s="2275"/>
      <c r="H55" s="2275"/>
      <c r="I55" s="2302"/>
      <c r="J55" s="2272"/>
      <c r="K55" s="1379"/>
      <c r="L55" s="1380"/>
      <c r="P55" s="2273"/>
      <c r="Q55" s="2273"/>
      <c r="R55" s="372"/>
      <c r="S55" s="1294"/>
      <c r="T55" s="303" t="s">
        <v>617</v>
      </c>
      <c r="U55" s="383"/>
      <c r="V55" s="383"/>
      <c r="W55" s="383"/>
      <c r="X55" s="383"/>
      <c r="Y55" s="383"/>
      <c r="Z55" s="383"/>
      <c r="AA55" s="340"/>
      <c r="AB55" s="1521"/>
      <c r="AC55" s="383"/>
      <c r="AD55" s="383"/>
      <c r="AE55" s="383"/>
      <c r="AF55" s="383"/>
      <c r="AG55" s="383"/>
      <c r="AH55" s="383"/>
      <c r="AI55" s="383"/>
      <c r="AJ55" s="383"/>
      <c r="AK55" s="383"/>
      <c r="AL55" s="383"/>
      <c r="AM55" s="383"/>
      <c r="AN55" s="383"/>
      <c r="AO55" s="383"/>
      <c r="AP55" s="383"/>
      <c r="AQ55" s="383"/>
      <c r="AR55" s="383"/>
      <c r="AS55" s="383"/>
      <c r="AT55" s="340"/>
      <c r="AU55" s="2271"/>
      <c r="AW55" s="516"/>
      <c r="AX55" s="516" t="str">
        <f>IF(T55="","",T55)</f>
        <v>Добавить строку</v>
      </c>
      <c r="AY55" s="516"/>
      <c r="AZ55" s="516"/>
      <c r="BA55" s="1171">
        <v>11</v>
      </c>
    </row>
    <row s="1658" customFormat="1" customHeight="1" ht="1.05">
      <c r="A56" s="1359" t="s">
        <v>264</v>
      </c>
      <c r="B56" s="1359" t="s">
        <v>265</v>
      </c>
      <c r="C56" s="1359" t="s">
        <v>266</v>
      </c>
      <c r="D56" s="1359" t="s">
        <v>267</v>
      </c>
      <c r="E56" s="2275"/>
      <c r="F56" s="2275"/>
      <c r="G56" s="2275"/>
      <c r="H56" s="2275"/>
      <c r="I56" s="2272"/>
      <c r="J56" s="1359"/>
      <c r="K56" s="1359"/>
      <c r="L56" s="1362"/>
      <c r="M56" s="526"/>
      <c r="N56" s="526"/>
      <c r="O56" s="526"/>
      <c r="P56" s="2273"/>
      <c r="Q56" s="1347"/>
      <c r="R56" s="372"/>
      <c r="S56" s="1402"/>
      <c r="T56" s="1403" t="s">
        <v>565</v>
      </c>
      <c r="U56" s="1404"/>
      <c r="V56" s="1404"/>
      <c r="W56" s="1404"/>
      <c r="X56" s="1404"/>
      <c r="Y56" s="1404"/>
      <c r="Z56" s="1404"/>
      <c r="AA56" s="1404"/>
      <c r="AB56" s="1404"/>
      <c r="AC56" s="1404"/>
      <c r="AD56" s="1404"/>
      <c r="AE56" s="1404"/>
      <c r="AF56" s="1404"/>
      <c r="AG56" s="1404"/>
      <c r="AH56" s="1404"/>
      <c r="AI56" s="1404"/>
      <c r="AJ56" s="1404"/>
      <c r="AK56" s="1404"/>
      <c r="AL56" s="1404"/>
      <c r="AM56" s="1404"/>
      <c r="AN56" s="1404"/>
      <c r="AO56" s="1404"/>
      <c r="AP56" s="1404"/>
      <c r="AQ56" s="1404"/>
      <c r="AR56" s="1404"/>
      <c r="AS56" s="1404"/>
      <c r="AT56" s="1404"/>
      <c r="AU56" s="1405"/>
      <c r="AW56" s="516"/>
      <c r="AX56" s="516" t="str">
        <f>IF(T56="","",T56)</f>
        <v>Добавить группу потребителей</v>
      </c>
      <c r="AY56" s="516"/>
      <c r="AZ56" s="516"/>
      <c r="BA56" s="527">
        <v>1</v>
      </c>
    </row>
    <row s="1657" customFormat="1" customHeight="1" ht="1.05">
      <c r="A57" s="1359" t="s">
        <v>264</v>
      </c>
      <c r="B57" s="1359" t="s">
        <v>265</v>
      </c>
      <c r="C57" s="1359" t="s">
        <v>266</v>
      </c>
      <c r="D57" s="1359" t="s">
        <v>267</v>
      </c>
      <c r="E57" s="2275"/>
      <c r="F57" s="2275"/>
      <c r="G57" s="2275"/>
      <c r="H57" s="2274"/>
      <c r="I57" s="1359"/>
      <c r="J57" s="1359"/>
      <c r="K57" s="1359"/>
      <c r="L57" s="1362"/>
      <c r="M57" s="1331"/>
      <c r="N57" s="1331"/>
      <c r="O57" s="534"/>
      <c r="P57" s="396"/>
      <c r="Q57" s="1360"/>
      <c r="R57" s="1416"/>
      <c r="S57" s="1402"/>
      <c r="T57" s="1403"/>
      <c r="U57" s="1404"/>
      <c r="V57" s="1404"/>
      <c r="W57" s="1404"/>
      <c r="X57" s="1404"/>
      <c r="Y57" s="1404"/>
      <c r="Z57" s="1404"/>
      <c r="AA57" s="1404"/>
      <c r="AB57" s="1404"/>
      <c r="AC57" s="1404"/>
      <c r="AD57" s="1404"/>
      <c r="AE57" s="1404"/>
      <c r="AF57" s="1404"/>
      <c r="AG57" s="1404"/>
      <c r="AH57" s="1404"/>
      <c r="AI57" s="1404"/>
      <c r="AJ57" s="1404"/>
      <c r="AK57" s="1404"/>
      <c r="AL57" s="1404"/>
      <c r="AM57" s="1404"/>
      <c r="AN57" s="1404"/>
      <c r="AO57" s="1404"/>
      <c r="AP57" s="1404"/>
      <c r="AQ57" s="1404"/>
      <c r="AR57" s="1404"/>
      <c r="AS57" s="1404"/>
      <c r="AT57" s="1404"/>
      <c r="AU57" s="1405"/>
      <c r="AV57" s="527"/>
      <c r="AW57" s="516"/>
      <c r="AX57" s="516" t="str">
        <f>IF(T57="","",T57)</f>
        <v/>
      </c>
      <c r="AY57" s="516"/>
      <c r="AZ57" s="516"/>
      <c r="BA57" s="512">
        <v>1</v>
      </c>
    </row>
    <row s="1658" customFormat="1" customHeight="1" ht="1.05">
      <c r="A58" s="1359" t="s">
        <v>264</v>
      </c>
      <c r="B58" s="1359" t="s">
        <v>265</v>
      </c>
      <c r="C58" s="1359" t="s">
        <v>266</v>
      </c>
      <c r="D58" s="1330"/>
      <c r="E58" s="2275"/>
      <c r="F58" s="2275"/>
      <c r="G58" s="2274"/>
      <c r="H58" s="1330"/>
      <c r="I58" s="1330"/>
      <c r="J58" s="1330"/>
      <c r="K58" s="1330"/>
      <c r="L58" s="1355"/>
      <c r="M58" s="1331"/>
      <c r="N58" s="1331"/>
      <c r="P58" s="1332"/>
      <c r="Q58" s="1333"/>
      <c r="R58" s="1332"/>
      <c r="S58" s="1338"/>
      <c r="T58" s="1341" t="s">
        <v>268</v>
      </c>
      <c r="U58" s="1340"/>
      <c r="V58" s="1340"/>
      <c r="W58" s="1340"/>
      <c r="X58" s="1340"/>
      <c r="Y58" s="1340"/>
      <c r="Z58" s="1340"/>
      <c r="AA58" s="1340"/>
      <c r="AB58" s="1340"/>
      <c r="AC58" s="1340"/>
      <c r="AD58" s="1340"/>
      <c r="AE58" s="1340"/>
      <c r="AF58" s="1340"/>
      <c r="AG58" s="1340"/>
      <c r="AH58" s="1340"/>
      <c r="AI58" s="1340"/>
      <c r="AJ58" s="1340"/>
      <c r="AK58" s="1340"/>
      <c r="AL58" s="1340"/>
      <c r="AM58" s="1340"/>
      <c r="AN58" s="1340"/>
      <c r="AO58" s="1340"/>
      <c r="AP58" s="1340"/>
      <c r="AQ58" s="1340"/>
      <c r="AR58" s="1340"/>
      <c r="AS58" s="1340"/>
      <c r="AT58" s="1340"/>
      <c r="AU58" s="1340"/>
      <c r="AW58" s="805"/>
      <c r="AX58" s="805" t="str">
        <f>IF(T58="","",T58)</f>
        <v>Добавить источник для дифференциации</v>
      </c>
      <c r="AY58" s="805"/>
      <c r="AZ58" s="805"/>
      <c r="BA58" s="534">
        <v>1</v>
      </c>
    </row>
    <row s="1658" customFormat="1" customHeight="1" ht="1.05">
      <c r="A59" s="1359" t="s">
        <v>264</v>
      </c>
      <c r="B59" s="1359" t="s">
        <v>265</v>
      </c>
      <c r="C59" s="1330"/>
      <c r="D59" s="1330"/>
      <c r="E59" s="2275"/>
      <c r="F59" s="2274"/>
      <c r="G59" s="1330"/>
      <c r="H59" s="1330"/>
      <c r="I59" s="1330"/>
      <c r="J59" s="1330"/>
      <c r="K59" s="1330"/>
      <c r="L59" s="1355"/>
      <c r="M59" s="1337"/>
      <c r="N59" s="1337"/>
      <c r="P59" s="1332"/>
      <c r="Q59" s="1333"/>
      <c r="R59" s="1332"/>
      <c r="S59" s="1338"/>
      <c r="T59" s="1341" t="s">
        <v>269</v>
      </c>
      <c r="U59" s="1340"/>
      <c r="V59" s="1340"/>
      <c r="W59" s="1340"/>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340"/>
      <c r="AS59" s="1340"/>
      <c r="AT59" s="1340"/>
      <c r="AU59" s="1340"/>
      <c r="AW59" s="805"/>
      <c r="AX59" s="805" t="str">
        <f>IF(T59="","",T59)</f>
        <v>Добавить централизованную систему для дифференциации</v>
      </c>
      <c r="AY59" s="805"/>
      <c r="AZ59" s="805"/>
      <c r="BA59" s="534">
        <v>1</v>
      </c>
    </row>
    <row s="1658" customFormat="1" customHeight="1" ht="1.05">
      <c r="A60" s="1359" t="s">
        <v>264</v>
      </c>
      <c r="B60" s="1359"/>
      <c r="C60" s="1359"/>
      <c r="D60" s="1359"/>
      <c r="E60" s="2275"/>
      <c r="F60" s="1359"/>
      <c r="G60" s="1359"/>
      <c r="H60" s="1359"/>
      <c r="I60" s="1359"/>
      <c r="J60" s="1359"/>
      <c r="K60" s="1359"/>
      <c r="L60" s="1362"/>
      <c r="M60" s="1337"/>
      <c r="N60" s="1337"/>
      <c r="O60" s="534"/>
      <c r="P60" s="396"/>
      <c r="Q60" s="1360"/>
      <c r="R60" s="396"/>
      <c r="S60" s="1338"/>
      <c r="T60" s="1341" t="s">
        <v>330</v>
      </c>
      <c r="U60" s="1340"/>
      <c r="V60" s="1340"/>
      <c r="W60" s="1340"/>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340"/>
      <c r="AS60" s="1340"/>
      <c r="AT60" s="1340"/>
      <c r="AU60" s="1340"/>
      <c r="AW60" s="516"/>
      <c r="AX60" s="516" t="str">
        <f>IF(T60="","",T60)</f>
        <v>Добавить территорию для дифференциации</v>
      </c>
      <c r="AY60" s="516"/>
      <c r="AZ60" s="516"/>
      <c r="BA60" s="527">
        <v>1</v>
      </c>
    </row>
    <row s="1866" customFormat="1" customHeight="1" ht="21">
      <c r="A61" s="1379"/>
      <c r="B61" s="1379" t="s">
        <v>270</v>
      </c>
      <c r="C61" s="1379"/>
      <c r="D61" s="1379"/>
      <c r="E61" s="2275"/>
      <c r="F61" s="2274" t="s">
        <v>28</v>
      </c>
      <c r="G61" s="1379"/>
      <c r="H61" s="1379"/>
      <c r="I61" s="1379"/>
      <c r="J61" s="1379"/>
      <c r="K61" s="1379"/>
      <c r="L61" s="1385"/>
      <c r="M61" s="1381"/>
      <c r="N61" s="1381"/>
      <c r="O61" s="1381"/>
      <c r="P61" s="2623"/>
      <c r="Q61" s="1427"/>
      <c r="R61" s="369"/>
      <c r="S61" s="2289" t="str">
        <f>INDEX(PT_DIFFERENTIATION_NUM_TER,MATCH(B61,PT_DIFFERENTIATION_TER_ID,0))</f>
        <v>1.2</v>
      </c>
      <c r="T61" s="1538" t="s">
        <v>550</v>
      </c>
      <c r="U61" s="316"/>
      <c r="V61" s="2259"/>
      <c r="W61" s="2259"/>
      <c r="X61" s="2259"/>
      <c r="Y61" s="2259"/>
      <c r="Z61" s="2259"/>
      <c r="AA61" s="2260"/>
      <c r="AB61" s="2258" t="str">
        <f>INDEX(PT_DIFFERENTIATION_TER,MATCH(B61,PT_DIFFERENTIATION_TER_ID,0))</f>
        <v>Территория 2</v>
      </c>
      <c r="AC61" s="2259"/>
      <c r="AD61" s="2259"/>
      <c r="AE61" s="2259"/>
      <c r="AF61" s="2259"/>
      <c r="AG61" s="2259"/>
      <c r="AH61" s="2259"/>
      <c r="AI61" s="2259"/>
      <c r="AJ61" s="2259"/>
      <c r="AK61" s="2259"/>
      <c r="AL61" s="2259"/>
      <c r="AM61" s="2259"/>
      <c r="AN61" s="2259"/>
      <c r="AO61" s="2259"/>
      <c r="AP61" s="2259"/>
      <c r="AQ61" s="2259"/>
      <c r="AR61" s="2259"/>
      <c r="AS61" s="2259"/>
      <c r="AT61" s="2260"/>
      <c r="AU61" s="1274" t="s">
        <v>551</v>
      </c>
      <c r="AV61" s="1658"/>
      <c r="AW61" s="1640"/>
      <c r="AX61" s="1640" t="str">
        <f>IF(T61="","",T61)</f>
        <v>Территория действия тарифа</v>
      </c>
      <c r="AY61" s="1640"/>
      <c r="AZ61" s="1640"/>
      <c r="BA61" s="1651">
        <v>0</v>
      </c>
    </row>
    <row s="1866" customFormat="1" customHeight="1" ht="22.5">
      <c r="A62" s="1379"/>
      <c r="B62" s="1379"/>
      <c r="C62" s="1379" t="s">
        <v>271</v>
      </c>
      <c r="D62" s="1379"/>
      <c r="E62" s="2275"/>
      <c r="F62" s="2275" t="s">
        <v>28</v>
      </c>
      <c r="G62" s="2274">
        <v>1</v>
      </c>
      <c r="H62" s="1379"/>
      <c r="I62" s="1379"/>
      <c r="J62" s="1379"/>
      <c r="K62" s="1379"/>
      <c r="L62" s="1385"/>
      <c r="M62" s="1381"/>
      <c r="N62" s="1381"/>
      <c r="O62" s="1381"/>
      <c r="P62" s="1428"/>
      <c r="Q62" s="1427"/>
      <c r="R62" s="369"/>
      <c r="S62" s="2289" t="str">
        <f>INDEX(PT_DIFFERENTIATION_NUM_CS,MATCH(C62,PT_DIFFERENTIATION_CS_ID,0))</f>
        <v>1.2.1</v>
      </c>
      <c r="T62" s="325" t="s">
        <v>552</v>
      </c>
      <c r="U62" s="316"/>
      <c r="V62" s="2259"/>
      <c r="W62" s="2259"/>
      <c r="X62" s="2259"/>
      <c r="Y62" s="2259"/>
      <c r="Z62" s="2259"/>
      <c r="AA62" s="2260"/>
      <c r="AB62" s="2258" t="str">
        <f>INDEX(PT_DIFFERENTIATION_CS,MATCH(C62,PT_DIFFERENTIATION_CS_ID,0))</f>
        <v>Хасанский муниципальный округ</v>
      </c>
      <c r="AC62" s="2259"/>
      <c r="AD62" s="2259"/>
      <c r="AE62" s="2259"/>
      <c r="AF62" s="2259"/>
      <c r="AG62" s="2259"/>
      <c r="AH62" s="2259"/>
      <c r="AI62" s="2259"/>
      <c r="AJ62" s="2259"/>
      <c r="AK62" s="2259"/>
      <c r="AL62" s="2259"/>
      <c r="AM62" s="2259"/>
      <c r="AN62" s="2259"/>
      <c r="AO62" s="2259"/>
      <c r="AP62" s="2259"/>
      <c r="AQ62" s="2259"/>
      <c r="AR62" s="2259"/>
      <c r="AS62" s="2259"/>
      <c r="AT62" s="2260"/>
      <c r="AU62" s="1274" t="s">
        <v>553</v>
      </c>
      <c r="AV62" s="1658"/>
      <c r="AW62" s="1640"/>
      <c r="AX62" s="1640" t="str">
        <f>IF(T62="","",T62)</f>
        <v>Наименование системы теплоснабжения </v>
      </c>
      <c r="AY62" s="1640"/>
      <c r="AZ62" s="1640"/>
      <c r="BA62" s="1651">
        <v>0</v>
      </c>
    </row>
    <row s="1866" customFormat="1" customHeight="1" ht="21">
      <c r="A63" s="1379"/>
      <c r="B63" s="1379"/>
      <c r="C63" s="1379"/>
      <c r="D63" s="1379" t="s">
        <v>272</v>
      </c>
      <c r="E63" s="2275"/>
      <c r="F63" s="2275" t="s">
        <v>28</v>
      </c>
      <c r="G63" s="2275"/>
      <c r="H63" s="2274">
        <v>1</v>
      </c>
      <c r="I63" s="1379"/>
      <c r="J63" s="1379"/>
      <c r="K63" s="1379"/>
      <c r="L63" s="1385"/>
      <c r="M63" s="1381"/>
      <c r="N63" s="1381"/>
      <c r="O63" s="1381"/>
      <c r="P63" s="1428"/>
      <c r="Q63" s="1427"/>
      <c r="R63" s="369"/>
      <c r="S63" s="2289" t="str">
        <f>INDEX(PT_DIFFERENTIATION_NUM_IST_TE,MATCH(D63,PT_DIFFERENTIATION_IST_TE_ID,0))</f>
        <v>1.2.1.1</v>
      </c>
      <c r="T63" s="326" t="s">
        <v>554</v>
      </c>
      <c r="U63" s="316"/>
      <c r="V63" s="2259"/>
      <c r="W63" s="2259"/>
      <c r="X63" s="2259"/>
      <c r="Y63" s="2259"/>
      <c r="Z63" s="2259"/>
      <c r="AA63" s="2260"/>
      <c r="AB63" s="2258" t="str">
        <f>INDEX(PT_DIFFERENTIATION_IST_TE,MATCH(D63,PT_DIFFERENTIATION_IST_TE_ID,0))</f>
        <v>без дифференциации</v>
      </c>
      <c r="AC63" s="2259"/>
      <c r="AD63" s="2259"/>
      <c r="AE63" s="2259"/>
      <c r="AF63" s="2259"/>
      <c r="AG63" s="2259"/>
      <c r="AH63" s="2259"/>
      <c r="AI63" s="2259"/>
      <c r="AJ63" s="2259"/>
      <c r="AK63" s="2259"/>
      <c r="AL63" s="2259"/>
      <c r="AM63" s="2259"/>
      <c r="AN63" s="2259"/>
      <c r="AO63" s="2259"/>
      <c r="AP63" s="2259"/>
      <c r="AQ63" s="2259"/>
      <c r="AR63" s="2259"/>
      <c r="AS63" s="2259"/>
      <c r="AT63" s="2260"/>
      <c r="AU63" s="1274" t="s">
        <v>555</v>
      </c>
      <c r="AV63" s="1658"/>
      <c r="AW63" s="1640"/>
      <c r="AX63" s="1640" t="str">
        <f>IF(T63="","",T63)</f>
        <v>Источник тепловой энергии  </v>
      </c>
      <c r="AY63" s="1640"/>
      <c r="AZ63" s="1640"/>
      <c r="BA63" s="1651">
        <v>0</v>
      </c>
    </row>
    <row s="638" customFormat="1" customHeight="1" ht="0.75">
      <c r="A64" s="1359"/>
      <c r="B64" s="1359"/>
      <c r="C64" s="1359"/>
      <c r="D64" s="1359"/>
      <c r="E64" s="2275"/>
      <c r="F64" s="2275" t="s">
        <v>28</v>
      </c>
      <c r="G64" s="2275"/>
      <c r="H64" s="2275"/>
      <c r="I64" s="2272" t="str">
        <f>S63&amp;".1"</f>
        <v>1.2.1.1.1</v>
      </c>
      <c r="J64" s="1359"/>
      <c r="K64" s="1359"/>
      <c r="L64" s="1561" t="s">
        <v>556</v>
      </c>
      <c r="M64" s="526"/>
      <c r="N64" s="526"/>
      <c r="O64" s="526"/>
      <c r="P64" s="2390">
        <v>1</v>
      </c>
      <c r="Q64" s="2390"/>
      <c r="R64" s="372"/>
      <c r="S64" s="2320"/>
      <c r="T64" s="1399"/>
      <c r="U64" s="1400"/>
      <c r="V64" s="2313"/>
      <c r="W64" s="2313"/>
      <c r="X64" s="2313"/>
      <c r="Y64" s="2313"/>
      <c r="Z64" s="2313"/>
      <c r="AA64" s="2314"/>
      <c r="AB64" s="2312"/>
      <c r="AC64" s="2313"/>
      <c r="AD64" s="2313"/>
      <c r="AE64" s="2313"/>
      <c r="AF64" s="2313"/>
      <c r="AG64" s="2313"/>
      <c r="AH64" s="2313"/>
      <c r="AI64" s="2313"/>
      <c r="AJ64" s="2313"/>
      <c r="AK64" s="2313"/>
      <c r="AL64" s="2313"/>
      <c r="AM64" s="2313"/>
      <c r="AN64" s="2313"/>
      <c r="AO64" s="2313"/>
      <c r="AP64" s="2313"/>
      <c r="AQ64" s="2313"/>
      <c r="AR64" s="2313"/>
      <c r="AS64" s="2313"/>
      <c r="AT64" s="2314"/>
      <c r="AU64" s="1401"/>
      <c r="AV64" s="1658"/>
      <c r="AW64" s="1640"/>
      <c r="AX64" s="1640" t="str">
        <f>IF(T64="","",T64)</f>
        <v/>
      </c>
      <c r="AY64" s="1640"/>
      <c r="AZ64" s="1640"/>
      <c r="BA64" s="1658">
        <v>0</v>
      </c>
    </row>
    <row s="638" customFormat="1" customHeight="1" ht="0.75">
      <c r="A65" s="1359"/>
      <c r="B65" s="1359"/>
      <c r="C65" s="1359"/>
      <c r="D65" s="1359"/>
      <c r="E65" s="2275"/>
      <c r="F65" s="2275" t="s">
        <v>28</v>
      </c>
      <c r="G65" s="2275"/>
      <c r="H65" s="2275"/>
      <c r="I65" s="2302"/>
      <c r="J65" s="2272" t="str">
        <f>S63&amp;".1"</f>
        <v>1.2.1.1.1</v>
      </c>
      <c r="K65" s="1359"/>
      <c r="L65" s="1561"/>
      <c r="M65" s="526"/>
      <c r="N65" s="526"/>
      <c r="O65" s="526"/>
      <c r="P65" s="2390"/>
      <c r="Q65" s="2390">
        <v>1</v>
      </c>
      <c r="R65" s="373"/>
      <c r="S65" s="2320"/>
      <c r="T65" s="1415"/>
      <c r="U65" s="1400"/>
      <c r="V65" s="2313"/>
      <c r="W65" s="2313"/>
      <c r="X65" s="2313"/>
      <c r="Y65" s="2313"/>
      <c r="Z65" s="2313"/>
      <c r="AA65" s="2314"/>
      <c r="AB65" s="2312"/>
      <c r="AC65" s="2313"/>
      <c r="AD65" s="2313"/>
      <c r="AE65" s="2313"/>
      <c r="AF65" s="2313"/>
      <c r="AG65" s="2313"/>
      <c r="AH65" s="2313"/>
      <c r="AI65" s="2313"/>
      <c r="AJ65" s="2313"/>
      <c r="AK65" s="2313"/>
      <c r="AL65" s="2313"/>
      <c r="AM65" s="2313"/>
      <c r="AN65" s="2313"/>
      <c r="AO65" s="2313"/>
      <c r="AP65" s="2313"/>
      <c r="AQ65" s="2313"/>
      <c r="AR65" s="2313"/>
      <c r="AS65" s="2313"/>
      <c r="AT65" s="2314"/>
      <c r="AU65" s="1401"/>
      <c r="AV65" s="1658"/>
      <c r="AW65" s="1640"/>
      <c r="AX65" s="1640" t="str">
        <f>IF(T65="","",T65)</f>
        <v/>
      </c>
      <c r="AY65" s="1640"/>
      <c r="AZ65" s="1640"/>
      <c r="BA65" s="1658">
        <v>0</v>
      </c>
    </row>
    <row s="1866" customFormat="1" customHeight="1" ht="21">
      <c r="A66" s="1379"/>
      <c r="B66" s="1379"/>
      <c r="C66" s="1379"/>
      <c r="D66" s="1379"/>
      <c r="E66" s="2275"/>
      <c r="F66" s="2275" t="s">
        <v>28</v>
      </c>
      <c r="G66" s="2275"/>
      <c r="H66" s="2275"/>
      <c r="I66" s="2302"/>
      <c r="J66" s="2302"/>
      <c r="K66" s="2272" t="str">
        <f>S63&amp;".1"</f>
        <v>1.2.1.1.1</v>
      </c>
      <c r="L66" s="1385"/>
      <c r="M66" s="1792"/>
      <c r="N66" s="1792"/>
      <c r="O66" s="1792"/>
      <c r="P66" s="2390"/>
      <c r="Q66" s="2390"/>
      <c r="R66" s="2363">
        <v>1</v>
      </c>
      <c r="S66" s="2357" t="str">
        <f>$K66</f>
        <v>1.2.1.1.1</v>
      </c>
      <c r="T66" s="2360" t="s">
        <v>630</v>
      </c>
      <c r="U66" s="316"/>
      <c r="V66" s="767"/>
      <c r="W66" s="1273"/>
      <c r="X66" s="2618"/>
      <c r="Y66" s="2123" t="s">
        <v>64</v>
      </c>
      <c r="Z66" s="2618"/>
      <c r="AA66" s="2123" t="s">
        <v>64</v>
      </c>
      <c r="AB66" s="2123" t="s">
        <v>19</v>
      </c>
      <c r="AC66" s="2342"/>
      <c r="AD66" s="2453">
        <v>1</v>
      </c>
      <c r="AE66" s="2364" t="s">
        <v>28</v>
      </c>
      <c r="AF66" s="2123" t="s">
        <v>19</v>
      </c>
      <c r="AG66" s="2342"/>
      <c r="AH66" s="2453">
        <v>1</v>
      </c>
      <c r="AI66" s="2364" t="s">
        <v>28</v>
      </c>
      <c r="AJ66" s="2123" t="s">
        <v>19</v>
      </c>
      <c r="AK66" s="327"/>
      <c r="AL66" s="2453">
        <v>1</v>
      </c>
      <c r="AM66" s="1540" t="s">
        <v>28</v>
      </c>
      <c r="AN66" s="767"/>
      <c r="AO66" s="1273">
        <v>29.69</v>
      </c>
      <c r="AP66" s="2618">
        <v>45730</v>
      </c>
      <c r="AQ66" s="2123" t="s">
        <v>64</v>
      </c>
      <c r="AR66" s="2618">
        <v>46022.476956018516</v>
      </c>
      <c r="AS66" s="2123" t="s">
        <v>64</v>
      </c>
      <c r="AT66" s="1364"/>
      <c r="AU66" s="2269" t="s">
        <v>613</v>
      </c>
      <c r="AV66" s="1658">
        <f>STRCHECKDATE(V69:AT69)</f>
      </c>
      <c r="AW66" s="1640"/>
      <c r="AX66" s="1640" t="str">
        <f>IF(T66="","",T66)</f>
        <v>Котельная</v>
      </c>
      <c r="AY66" s="1640"/>
      <c r="AZ66" s="1640"/>
      <c r="BA66" s="1651">
        <v>0</v>
      </c>
    </row>
    <row s="1866" customFormat="1" customHeight="1" ht="11.25">
      <c r="A67" s="1379"/>
      <c r="B67" s="1379"/>
      <c r="C67" s="1379"/>
      <c r="D67" s="1379"/>
      <c r="E67" s="2275"/>
      <c r="F67" s="2275" t="s">
        <v>28</v>
      </c>
      <c r="G67" s="2275"/>
      <c r="H67" s="2275"/>
      <c r="I67" s="2302"/>
      <c r="J67" s="2302"/>
      <c r="K67" s="2272"/>
      <c r="L67" s="1385"/>
      <c r="M67" s="1792"/>
      <c r="N67" s="1792"/>
      <c r="O67" s="1792"/>
      <c r="P67" s="2390"/>
      <c r="Q67" s="2390"/>
      <c r="R67" s="2363"/>
      <c r="S67" s="2358"/>
      <c r="T67" s="2361"/>
      <c r="U67" s="316"/>
      <c r="V67" s="2691"/>
      <c r="W67" s="2692"/>
      <c r="X67" s="2618"/>
      <c r="Y67" s="2123"/>
      <c r="Z67" s="2618"/>
      <c r="AA67" s="2123"/>
      <c r="AB67" s="2123"/>
      <c r="AC67" s="2342"/>
      <c r="AD67" s="2453"/>
      <c r="AE67" s="2364" t="s">
        <v>28</v>
      </c>
      <c r="AF67" s="2123"/>
      <c r="AG67" s="2342"/>
      <c r="AH67" s="2453"/>
      <c r="AI67" s="2364" t="s">
        <v>28</v>
      </c>
      <c r="AJ67" s="2123"/>
      <c r="AK67" s="2693"/>
      <c r="AL67" s="2694"/>
      <c r="AM67" s="2695" t="s">
        <v>614</v>
      </c>
      <c r="AN67" s="2696"/>
      <c r="AO67" s="2697"/>
      <c r="AP67" s="2698"/>
      <c r="AQ67" s="2699"/>
      <c r="AR67" s="2700"/>
      <c r="AS67" s="2701"/>
      <c r="AT67" s="1406"/>
      <c r="AU67" s="2270"/>
      <c r="AV67" s="1658"/>
      <c r="AW67" s="1640"/>
      <c r="AX67" s="1640"/>
      <c r="AY67" s="1640"/>
      <c r="AZ67" s="1640"/>
      <c r="BA67" s="1651">
        <v>0</v>
      </c>
    </row>
    <row s="1866" customFormat="1" customHeight="1" ht="11.25">
      <c r="A68" s="1379"/>
      <c r="B68" s="1379"/>
      <c r="C68" s="1379"/>
      <c r="D68" s="1379"/>
      <c r="E68" s="2275"/>
      <c r="F68" s="2275" t="s">
        <v>28</v>
      </c>
      <c r="G68" s="2275"/>
      <c r="H68" s="2275"/>
      <c r="I68" s="2302"/>
      <c r="J68" s="2302"/>
      <c r="K68" s="2272"/>
      <c r="L68" s="1385"/>
      <c r="M68" s="1792"/>
      <c r="N68" s="1792"/>
      <c r="O68" s="1792"/>
      <c r="P68" s="2390"/>
      <c r="Q68" s="2390"/>
      <c r="R68" s="2363"/>
      <c r="S68" s="2358"/>
      <c r="T68" s="2361"/>
      <c r="U68" s="316"/>
      <c r="V68" s="2702"/>
      <c r="W68" s="2703"/>
      <c r="X68" s="2618"/>
      <c r="Y68" s="2123"/>
      <c r="Z68" s="2618"/>
      <c r="AA68" s="2123"/>
      <c r="AB68" s="2123"/>
      <c r="AC68" s="2342"/>
      <c r="AD68" s="2453"/>
      <c r="AE68" s="2364" t="s">
        <v>28</v>
      </c>
      <c r="AF68" s="2123"/>
      <c r="AG68" s="2704"/>
      <c r="AH68" s="2705"/>
      <c r="AI68" s="2706" t="s">
        <v>615</v>
      </c>
      <c r="AJ68" s="2707"/>
      <c r="AK68" s="2708"/>
      <c r="AL68" s="2709"/>
      <c r="AM68" s="2710"/>
      <c r="AN68" s="2711"/>
      <c r="AO68" s="2712"/>
      <c r="AP68" s="2713"/>
      <c r="AQ68" s="2714"/>
      <c r="AR68" s="2715"/>
      <c r="AS68" s="2716"/>
      <c r="AT68" s="1406"/>
      <c r="AU68" s="2270"/>
      <c r="AV68" s="1658"/>
      <c r="AW68" s="1640"/>
      <c r="AX68" s="1640"/>
      <c r="AY68" s="1640"/>
      <c r="AZ68" s="1640"/>
      <c r="BA68" s="1651">
        <v>0</v>
      </c>
    </row>
    <row s="1866" customFormat="1" customHeight="1" ht="11.25">
      <c r="A69" s="1379"/>
      <c r="B69" s="1379"/>
      <c r="C69" s="1379"/>
      <c r="D69" s="1379"/>
      <c r="E69" s="2275"/>
      <c r="F69" s="2275" t="s">
        <v>28</v>
      </c>
      <c r="G69" s="2275"/>
      <c r="H69" s="2275"/>
      <c r="I69" s="2302"/>
      <c r="J69" s="2302"/>
      <c r="K69" s="2272"/>
      <c r="L69" s="1385"/>
      <c r="M69" s="1792"/>
      <c r="N69" s="1792"/>
      <c r="O69" s="1792"/>
      <c r="P69" s="2390"/>
      <c r="Q69" s="2390"/>
      <c r="R69" s="2363"/>
      <c r="S69" s="2359"/>
      <c r="T69" s="2362"/>
      <c r="U69" s="316"/>
      <c r="V69" s="2717"/>
      <c r="W69" s="2718" t="str">
        <f>X66&amp;"-"&amp;Z66</f>
        <v>-</v>
      </c>
      <c r="X69" s="2325"/>
      <c r="Y69" s="2123"/>
      <c r="Z69" s="2325"/>
      <c r="AA69" s="2123"/>
      <c r="AB69" s="2123"/>
      <c r="AC69" s="2719"/>
      <c r="AD69" s="2720"/>
      <c r="AE69" s="2721" t="s">
        <v>616</v>
      </c>
      <c r="AF69" s="2722"/>
      <c r="AG69" s="2723"/>
      <c r="AH69" s="2724"/>
      <c r="AI69" s="2725"/>
      <c r="AJ69" s="2726"/>
      <c r="AK69" s="2727"/>
      <c r="AL69" s="2728"/>
      <c r="AM69" s="2729"/>
      <c r="AN69" s="2730"/>
      <c r="AO69" s="2731" t="str">
        <f>AP66&amp;"-"&amp;AR66</f>
        <v>45730-46022.476956018516</v>
      </c>
      <c r="AP69" s="2732"/>
      <c r="AQ69" s="2733"/>
      <c r="AR69" s="2734"/>
      <c r="AS69" s="2735"/>
      <c r="AT69" s="1365"/>
      <c r="AU69" s="2270"/>
      <c r="AV69" s="1658"/>
      <c r="AW69" s="1640"/>
      <c r="AX69" s="1640" t="str">
        <f>IF(T69="","",T69)</f>
        <v/>
      </c>
      <c r="AY69" s="1640"/>
      <c r="AZ69" s="1640"/>
      <c r="BA69" s="1651">
        <v>0</v>
      </c>
    </row>
    <row s="1866" customFormat="1" customHeight="1" ht="11.25">
      <c r="A70" s="1379"/>
      <c r="B70" s="1379"/>
      <c r="C70" s="1379"/>
      <c r="D70" s="1379"/>
      <c r="E70" s="2275"/>
      <c r="F70" s="2275" t="s">
        <v>28</v>
      </c>
      <c r="G70" s="2275"/>
      <c r="H70" s="2275"/>
      <c r="I70" s="2302"/>
      <c r="J70" s="2272"/>
      <c r="K70" s="1379"/>
      <c r="L70" s="1385"/>
      <c r="M70" s="1792"/>
      <c r="N70" s="1792"/>
      <c r="O70" s="1792"/>
      <c r="P70" s="2390"/>
      <c r="Q70" s="2390"/>
      <c r="R70" s="372"/>
      <c r="S70" s="2736"/>
      <c r="T70" s="2737" t="s">
        <v>617</v>
      </c>
      <c r="U70" s="2738"/>
      <c r="V70" s="2739"/>
      <c r="W70" s="2740"/>
      <c r="X70" s="2741"/>
      <c r="Y70" s="2742"/>
      <c r="Z70" s="2743"/>
      <c r="AA70" s="2744"/>
      <c r="AB70" s="2745"/>
      <c r="AC70" s="2746"/>
      <c r="AD70" s="2747"/>
      <c r="AE70" s="2748"/>
      <c r="AF70" s="2749"/>
      <c r="AG70" s="2750"/>
      <c r="AH70" s="2751"/>
      <c r="AI70" s="2752"/>
      <c r="AJ70" s="2753"/>
      <c r="AK70" s="2754"/>
      <c r="AL70" s="2755"/>
      <c r="AM70" s="2756"/>
      <c r="AN70" s="2757"/>
      <c r="AO70" s="2758"/>
      <c r="AP70" s="2759"/>
      <c r="AQ70" s="2760"/>
      <c r="AR70" s="2761"/>
      <c r="AS70" s="2762"/>
      <c r="AT70" s="2763"/>
      <c r="AU70" s="2271"/>
      <c r="AV70" s="1658"/>
      <c r="AW70" s="1640"/>
      <c r="AX70" s="1640" t="str">
        <f>IF(T70="","",T70)</f>
        <v>Добавить строку</v>
      </c>
      <c r="AY70" s="1640"/>
      <c r="AZ70" s="1640"/>
      <c r="BA70" s="1651">
        <v>0</v>
      </c>
    </row>
    <row s="638" customFormat="1" customHeight="1" ht="0.75">
      <c r="A71" s="1359"/>
      <c r="B71" s="1359"/>
      <c r="C71" s="1359"/>
      <c r="D71" s="1359"/>
      <c r="E71" s="2275"/>
      <c r="F71" s="2275" t="s">
        <v>28</v>
      </c>
      <c r="G71" s="2275"/>
      <c r="H71" s="2275"/>
      <c r="I71" s="2272"/>
      <c r="J71" s="1359"/>
      <c r="K71" s="1359"/>
      <c r="L71" s="1561"/>
      <c r="M71" s="526"/>
      <c r="N71" s="526"/>
      <c r="O71" s="526"/>
      <c r="P71" s="2390"/>
      <c r="Q71" s="2390"/>
      <c r="R71" s="372"/>
      <c r="S71" s="1402"/>
      <c r="T71" s="1403"/>
      <c r="U71" s="1404"/>
      <c r="V71" s="1404"/>
      <c r="W71" s="1404"/>
      <c r="X71" s="1404"/>
      <c r="Y71" s="1404"/>
      <c r="Z71" s="1404"/>
      <c r="AA71" s="1404"/>
      <c r="AB71" s="1404"/>
      <c r="AC71" s="1404"/>
      <c r="AD71" s="1404"/>
      <c r="AE71" s="1404"/>
      <c r="AF71" s="1404"/>
      <c r="AG71" s="1404"/>
      <c r="AH71" s="1404"/>
      <c r="AI71" s="1404"/>
      <c r="AJ71" s="1404"/>
      <c r="AK71" s="1404"/>
      <c r="AL71" s="1404"/>
      <c r="AM71" s="1404"/>
      <c r="AN71" s="1404"/>
      <c r="AO71" s="1404"/>
      <c r="AP71" s="1404"/>
      <c r="AQ71" s="1404"/>
      <c r="AR71" s="1404"/>
      <c r="AS71" s="1404"/>
      <c r="AT71" s="1404"/>
      <c r="AU71" s="1405"/>
      <c r="AV71" s="1658"/>
      <c r="AW71" s="1640"/>
      <c r="AX71" s="1640" t="str">
        <f>IF(T71="","",T71)</f>
        <v/>
      </c>
      <c r="AY71" s="1640"/>
      <c r="AZ71" s="1640"/>
      <c r="BA71" s="1658">
        <v>0</v>
      </c>
    </row>
    <row s="638" customFormat="1" customHeight="1" ht="0.75">
      <c r="A72" s="1359"/>
      <c r="B72" s="1359"/>
      <c r="C72" s="1359"/>
      <c r="D72" s="1359"/>
      <c r="E72" s="2275"/>
      <c r="F72" s="2275" t="s">
        <v>28</v>
      </c>
      <c r="G72" s="2275"/>
      <c r="H72" s="2274"/>
      <c r="I72" s="1359"/>
      <c r="J72" s="1359"/>
      <c r="K72" s="1359"/>
      <c r="L72" s="1561"/>
      <c r="M72" s="1331"/>
      <c r="N72" s="1331"/>
      <c r="O72" s="1658"/>
      <c r="P72" s="1332"/>
      <c r="Q72" s="1360"/>
      <c r="R72" s="1417"/>
      <c r="S72" s="1402"/>
      <c r="T72" s="1403"/>
      <c r="U72" s="1404"/>
      <c r="V72" s="1404"/>
      <c r="W72" s="1404"/>
      <c r="X72" s="1404"/>
      <c r="Y72" s="1404"/>
      <c r="Z72" s="1404"/>
      <c r="AA72" s="1404"/>
      <c r="AB72" s="1404"/>
      <c r="AC72" s="1404"/>
      <c r="AD72" s="1404"/>
      <c r="AE72" s="1404"/>
      <c r="AF72" s="1404"/>
      <c r="AG72" s="1404"/>
      <c r="AH72" s="1404"/>
      <c r="AI72" s="1404"/>
      <c r="AJ72" s="1404"/>
      <c r="AK72" s="1404"/>
      <c r="AL72" s="1404"/>
      <c r="AM72" s="1404"/>
      <c r="AN72" s="1404"/>
      <c r="AO72" s="1404"/>
      <c r="AP72" s="1404"/>
      <c r="AQ72" s="1404"/>
      <c r="AR72" s="1404"/>
      <c r="AS72" s="1404"/>
      <c r="AT72" s="1404"/>
      <c r="AU72" s="1405"/>
      <c r="AV72" s="1658"/>
      <c r="AW72" s="1640"/>
      <c r="AX72" s="1640" t="str">
        <f>IF(T72="","",T72)</f>
        <v/>
      </c>
      <c r="AY72" s="1640"/>
      <c r="AZ72" s="1640"/>
      <c r="BA72" s="1658">
        <v>0</v>
      </c>
    </row>
    <row s="638" customFormat="1" customHeight="1" ht="0.75">
      <c r="A73" s="1359"/>
      <c r="B73" s="1359"/>
      <c r="C73" s="1359"/>
      <c r="D73" s="1359"/>
      <c r="E73" s="2275"/>
      <c r="F73" s="2275" t="s">
        <v>28</v>
      </c>
      <c r="G73" s="2274"/>
      <c r="H73" s="1359"/>
      <c r="I73" s="1359"/>
      <c r="J73" s="1359"/>
      <c r="K73" s="1359"/>
      <c r="L73" s="1561"/>
      <c r="M73" s="1331"/>
      <c r="N73" s="1331"/>
      <c r="O73" s="1658"/>
      <c r="P73" s="1332"/>
      <c r="Q73" s="1360"/>
      <c r="R73" s="1332"/>
      <c r="S73" s="1338"/>
      <c r="T73" s="1341" t="s">
        <v>268</v>
      </c>
      <c r="U73" s="1340"/>
      <c r="V73" s="1340"/>
      <c r="W73" s="1340"/>
      <c r="X73" s="1340"/>
      <c r="Y73" s="1340"/>
      <c r="Z73" s="1340"/>
      <c r="AA73" s="1340"/>
      <c r="AB73" s="1340"/>
      <c r="AC73" s="1340"/>
      <c r="AD73" s="1340"/>
      <c r="AE73" s="1340"/>
      <c r="AF73" s="1340"/>
      <c r="AG73" s="1340"/>
      <c r="AH73" s="1340"/>
      <c r="AI73" s="1340"/>
      <c r="AJ73" s="1340"/>
      <c r="AK73" s="1340"/>
      <c r="AL73" s="1340"/>
      <c r="AM73" s="1340"/>
      <c r="AN73" s="1340"/>
      <c r="AO73" s="1340"/>
      <c r="AP73" s="1340"/>
      <c r="AQ73" s="1340"/>
      <c r="AR73" s="1340"/>
      <c r="AS73" s="1340"/>
      <c r="AT73" s="1340"/>
      <c r="AU73" s="1340"/>
      <c r="AV73" s="1658"/>
      <c r="AW73" s="1640"/>
      <c r="AX73" s="1640" t="str">
        <f>IF(T73="","",T73)</f>
        <v>Добавить источник для дифференциации</v>
      </c>
      <c r="AY73" s="1640"/>
      <c r="AZ73" s="1640"/>
      <c r="BA73" s="1658">
        <v>0</v>
      </c>
    </row>
    <row s="638" customFormat="1" customHeight="1" ht="0.75">
      <c r="A74" s="1359"/>
      <c r="B74" s="1359"/>
      <c r="C74" s="1359"/>
      <c r="D74" s="1359"/>
      <c r="E74" s="2275"/>
      <c r="F74" s="2274" t="s">
        <v>28</v>
      </c>
      <c r="G74" s="1359"/>
      <c r="H74" s="1359"/>
      <c r="I74" s="1359"/>
      <c r="J74" s="1359"/>
      <c r="K74" s="1359"/>
      <c r="L74" s="1561"/>
      <c r="M74" s="1337"/>
      <c r="N74" s="1337"/>
      <c r="O74" s="1658"/>
      <c r="P74" s="1332"/>
      <c r="Q74" s="1360"/>
      <c r="R74" s="1332"/>
      <c r="S74" s="1338"/>
      <c r="T74" s="1341" t="s">
        <v>269</v>
      </c>
      <c r="U74" s="1340"/>
      <c r="V74" s="1340"/>
      <c r="W74" s="1340"/>
      <c r="X74" s="1340"/>
      <c r="Y74" s="1340"/>
      <c r="Z74" s="1340"/>
      <c r="AA74" s="1340"/>
      <c r="AB74" s="1340"/>
      <c r="AC74" s="1340"/>
      <c r="AD74" s="1340"/>
      <c r="AE74" s="1340"/>
      <c r="AF74" s="1340"/>
      <c r="AG74" s="1340"/>
      <c r="AH74" s="1340"/>
      <c r="AI74" s="1340"/>
      <c r="AJ74" s="1340"/>
      <c r="AK74" s="1340"/>
      <c r="AL74" s="1340"/>
      <c r="AM74" s="1340"/>
      <c r="AN74" s="1340"/>
      <c r="AO74" s="1340"/>
      <c r="AP74" s="1340"/>
      <c r="AQ74" s="1340"/>
      <c r="AR74" s="1340"/>
      <c r="AS74" s="1340"/>
      <c r="AT74" s="1340"/>
      <c r="AU74" s="1340"/>
      <c r="AV74" s="1658"/>
      <c r="AW74" s="1640"/>
      <c r="AX74" s="1640" t="str">
        <f>IF(T74="","",T74)</f>
        <v>Добавить централизованную систему для дифференциации</v>
      </c>
      <c r="AY74" s="1640"/>
      <c r="AZ74" s="1640"/>
      <c r="BA74" s="1658">
        <v>0</v>
      </c>
    </row>
    <row s="1866" customFormat="1" customHeight="1" ht="21">
      <c r="A75" s="1379"/>
      <c r="B75" s="1379" t="s">
        <v>274</v>
      </c>
      <c r="C75" s="1379"/>
      <c r="D75" s="1379"/>
      <c r="E75" s="2275"/>
      <c r="F75" s="2274" t="s">
        <v>28</v>
      </c>
      <c r="G75" s="1379"/>
      <c r="H75" s="1379"/>
      <c r="I75" s="1379"/>
      <c r="J75" s="1379"/>
      <c r="K75" s="1379"/>
      <c r="L75" s="1385"/>
      <c r="M75" s="1381"/>
      <c r="N75" s="1381"/>
      <c r="O75" s="1381"/>
      <c r="P75" s="2623"/>
      <c r="Q75" s="1427"/>
      <c r="R75" s="369"/>
      <c r="S75" s="2289" t="str">
        <f>INDEX(PT_DIFFERENTIATION_NUM_TER,MATCH(B75,PT_DIFFERENTIATION_TER_ID,0))</f>
        <v>1.3</v>
      </c>
      <c r="T75" s="1538" t="s">
        <v>550</v>
      </c>
      <c r="U75" s="316"/>
      <c r="V75" s="2259"/>
      <c r="W75" s="2259"/>
      <c r="X75" s="2259"/>
      <c r="Y75" s="2259"/>
      <c r="Z75" s="2259"/>
      <c r="AA75" s="2260"/>
      <c r="AB75" s="2258" t="str">
        <f>INDEX(PT_DIFFERENTIATION_TER,MATCH(B75,PT_DIFFERENTIATION_TER_ID,0))</f>
        <v>Территория 3</v>
      </c>
      <c r="AC75" s="2259"/>
      <c r="AD75" s="2259"/>
      <c r="AE75" s="2259"/>
      <c r="AF75" s="2259"/>
      <c r="AG75" s="2259"/>
      <c r="AH75" s="2259"/>
      <c r="AI75" s="2259"/>
      <c r="AJ75" s="2259"/>
      <c r="AK75" s="2259"/>
      <c r="AL75" s="2259"/>
      <c r="AM75" s="2259"/>
      <c r="AN75" s="2259"/>
      <c r="AO75" s="2259"/>
      <c r="AP75" s="2259"/>
      <c r="AQ75" s="2259"/>
      <c r="AR75" s="2259"/>
      <c r="AS75" s="2259"/>
      <c r="AT75" s="2260"/>
      <c r="AU75" s="1274" t="s">
        <v>551</v>
      </c>
      <c r="AV75" s="1658"/>
      <c r="AW75" s="1640"/>
      <c r="AX75" s="1640" t="str">
        <f>IF(T75="","",T75)</f>
        <v>Территория действия тарифа</v>
      </c>
      <c r="AY75" s="1640"/>
      <c r="AZ75" s="1640"/>
      <c r="BA75" s="1651">
        <v>0</v>
      </c>
    </row>
    <row s="1866" customFormat="1" customHeight="1" ht="22.5">
      <c r="A76" s="1379"/>
      <c r="B76" s="1379"/>
      <c r="C76" s="1379" t="s">
        <v>275</v>
      </c>
      <c r="D76" s="1379"/>
      <c r="E76" s="2275"/>
      <c r="F76" s="2275" t="s">
        <v>28</v>
      </c>
      <c r="G76" s="2274">
        <v>1</v>
      </c>
      <c r="H76" s="1379"/>
      <c r="I76" s="1379"/>
      <c r="J76" s="1379"/>
      <c r="K76" s="1379"/>
      <c r="L76" s="1385"/>
      <c r="M76" s="1381"/>
      <c r="N76" s="1381"/>
      <c r="O76" s="1381"/>
      <c r="P76" s="1428"/>
      <c r="Q76" s="1427"/>
      <c r="R76" s="369"/>
      <c r="S76" s="2289" t="str">
        <f>INDEX(PT_DIFFERENTIATION_NUM_CS,MATCH(C76,PT_DIFFERENTIATION_CS_ID,0))</f>
        <v>1.3.1</v>
      </c>
      <c r="T76" s="325" t="s">
        <v>552</v>
      </c>
      <c r="U76" s="316"/>
      <c r="V76" s="2259"/>
      <c r="W76" s="2259"/>
      <c r="X76" s="2259"/>
      <c r="Y76" s="2259"/>
      <c r="Z76" s="2259"/>
      <c r="AA76" s="2260"/>
      <c r="AB76" s="2258" t="str">
        <f>INDEX(PT_DIFFERENTIATION_CS,MATCH(C76,PT_DIFFERENTIATION_CS_ID,0))</f>
        <v>п. Рудный Кавалеровский муниципальный округ
</v>
      </c>
      <c r="AC76" s="2259"/>
      <c r="AD76" s="2259"/>
      <c r="AE76" s="2259"/>
      <c r="AF76" s="2259"/>
      <c r="AG76" s="2259"/>
      <c r="AH76" s="2259"/>
      <c r="AI76" s="2259"/>
      <c r="AJ76" s="2259"/>
      <c r="AK76" s="2259"/>
      <c r="AL76" s="2259"/>
      <c r="AM76" s="2259"/>
      <c r="AN76" s="2259"/>
      <c r="AO76" s="2259"/>
      <c r="AP76" s="2259"/>
      <c r="AQ76" s="2259"/>
      <c r="AR76" s="2259"/>
      <c r="AS76" s="2259"/>
      <c r="AT76" s="2260"/>
      <c r="AU76" s="1274" t="s">
        <v>553</v>
      </c>
      <c r="AV76" s="1658"/>
      <c r="AW76" s="1640"/>
      <c r="AX76" s="1640" t="str">
        <f>IF(T76="","",T76)</f>
        <v>Наименование системы теплоснабжения </v>
      </c>
      <c r="AY76" s="1640"/>
      <c r="AZ76" s="1640"/>
      <c r="BA76" s="1651">
        <v>0</v>
      </c>
    </row>
    <row s="1866" customFormat="1" customHeight="1" ht="21">
      <c r="A77" s="1379"/>
      <c r="B77" s="1379"/>
      <c r="C77" s="1379"/>
      <c r="D77" s="1379" t="s">
        <v>276</v>
      </c>
      <c r="E77" s="2275"/>
      <c r="F77" s="2275" t="s">
        <v>28</v>
      </c>
      <c r="G77" s="2275"/>
      <c r="H77" s="2274">
        <v>1</v>
      </c>
      <c r="I77" s="1379"/>
      <c r="J77" s="1379"/>
      <c r="K77" s="1379"/>
      <c r="L77" s="1385"/>
      <c r="M77" s="1381"/>
      <c r="N77" s="1381"/>
      <c r="O77" s="1381"/>
      <c r="P77" s="1428"/>
      <c r="Q77" s="1427"/>
      <c r="R77" s="369"/>
      <c r="S77" s="2289" t="str">
        <f>INDEX(PT_DIFFERENTIATION_NUM_IST_TE,MATCH(D77,PT_DIFFERENTIATION_IST_TE_ID,0))</f>
        <v>1.3.1.1</v>
      </c>
      <c r="T77" s="326" t="s">
        <v>554</v>
      </c>
      <c r="U77" s="316"/>
      <c r="V77" s="2259"/>
      <c r="W77" s="2259"/>
      <c r="X77" s="2259"/>
      <c r="Y77" s="2259"/>
      <c r="Z77" s="2259"/>
      <c r="AA77" s="2260"/>
      <c r="AB77" s="2258" t="str">
        <f>INDEX(PT_DIFFERENTIATION_IST_TE,MATCH(D77,PT_DIFFERENTIATION_IST_TE_ID,0))</f>
        <v>без дифференциации</v>
      </c>
      <c r="AC77" s="2259"/>
      <c r="AD77" s="2259"/>
      <c r="AE77" s="2259"/>
      <c r="AF77" s="2259"/>
      <c r="AG77" s="2259"/>
      <c r="AH77" s="2259"/>
      <c r="AI77" s="2259"/>
      <c r="AJ77" s="2259"/>
      <c r="AK77" s="2259"/>
      <c r="AL77" s="2259"/>
      <c r="AM77" s="2259"/>
      <c r="AN77" s="2259"/>
      <c r="AO77" s="2259"/>
      <c r="AP77" s="2259"/>
      <c r="AQ77" s="2259"/>
      <c r="AR77" s="2259"/>
      <c r="AS77" s="2259"/>
      <c r="AT77" s="2260"/>
      <c r="AU77" s="1274" t="s">
        <v>555</v>
      </c>
      <c r="AV77" s="1658"/>
      <c r="AW77" s="1640"/>
      <c r="AX77" s="1640" t="str">
        <f>IF(T77="","",T77)</f>
        <v>Источник тепловой энергии  </v>
      </c>
      <c r="AY77" s="1640"/>
      <c r="AZ77" s="1640"/>
      <c r="BA77" s="1651">
        <v>0</v>
      </c>
    </row>
    <row s="638" customFormat="1" customHeight="1" ht="0.75">
      <c r="A78" s="1359"/>
      <c r="B78" s="1359"/>
      <c r="C78" s="1359"/>
      <c r="D78" s="1359"/>
      <c r="E78" s="2275"/>
      <c r="F78" s="2275" t="s">
        <v>28</v>
      </c>
      <c r="G78" s="2275"/>
      <c r="H78" s="2275"/>
      <c r="I78" s="2272" t="str">
        <f>S77&amp;".1"</f>
        <v>1.3.1.1.1</v>
      </c>
      <c r="J78" s="1359"/>
      <c r="K78" s="1359"/>
      <c r="L78" s="1561" t="s">
        <v>556</v>
      </c>
      <c r="M78" s="526"/>
      <c r="N78" s="526"/>
      <c r="O78" s="526"/>
      <c r="P78" s="2390">
        <v>1</v>
      </c>
      <c r="Q78" s="2390"/>
      <c r="R78" s="372"/>
      <c r="S78" s="2320"/>
      <c r="T78" s="1399"/>
      <c r="U78" s="1400"/>
      <c r="V78" s="2313"/>
      <c r="W78" s="2313"/>
      <c r="X78" s="2313"/>
      <c r="Y78" s="2313"/>
      <c r="Z78" s="2313"/>
      <c r="AA78" s="2314"/>
      <c r="AB78" s="2312"/>
      <c r="AC78" s="2313"/>
      <c r="AD78" s="2313"/>
      <c r="AE78" s="2313"/>
      <c r="AF78" s="2313"/>
      <c r="AG78" s="2313"/>
      <c r="AH78" s="2313"/>
      <c r="AI78" s="2313"/>
      <c r="AJ78" s="2313"/>
      <c r="AK78" s="2313"/>
      <c r="AL78" s="2313"/>
      <c r="AM78" s="2313"/>
      <c r="AN78" s="2313"/>
      <c r="AO78" s="2313"/>
      <c r="AP78" s="2313"/>
      <c r="AQ78" s="2313"/>
      <c r="AR78" s="2313"/>
      <c r="AS78" s="2313"/>
      <c r="AT78" s="2314"/>
      <c r="AU78" s="1401"/>
      <c r="AV78" s="1658"/>
      <c r="AW78" s="1640"/>
      <c r="AX78" s="1640" t="str">
        <f>IF(T78="","",T78)</f>
        <v/>
      </c>
      <c r="AY78" s="1640"/>
      <c r="AZ78" s="1640"/>
      <c r="BA78" s="1658">
        <v>0</v>
      </c>
    </row>
    <row s="638" customFormat="1" customHeight="1" ht="0.75">
      <c r="A79" s="1359"/>
      <c r="B79" s="1359"/>
      <c r="C79" s="1359"/>
      <c r="D79" s="1359"/>
      <c r="E79" s="2275"/>
      <c r="F79" s="2275" t="s">
        <v>28</v>
      </c>
      <c r="G79" s="2275"/>
      <c r="H79" s="2275"/>
      <c r="I79" s="2302"/>
      <c r="J79" s="2272" t="str">
        <f>S77&amp;".1"</f>
        <v>1.3.1.1.1</v>
      </c>
      <c r="K79" s="1359"/>
      <c r="L79" s="1561"/>
      <c r="M79" s="526"/>
      <c r="N79" s="526"/>
      <c r="O79" s="526"/>
      <c r="P79" s="2390"/>
      <c r="Q79" s="2390">
        <v>1</v>
      </c>
      <c r="R79" s="373"/>
      <c r="S79" s="2320"/>
      <c r="T79" s="1415"/>
      <c r="U79" s="1400"/>
      <c r="V79" s="2313"/>
      <c r="W79" s="2313"/>
      <c r="X79" s="2313"/>
      <c r="Y79" s="2313"/>
      <c r="Z79" s="2313"/>
      <c r="AA79" s="2314"/>
      <c r="AB79" s="2312"/>
      <c r="AC79" s="2313"/>
      <c r="AD79" s="2313"/>
      <c r="AE79" s="2313"/>
      <c r="AF79" s="2313"/>
      <c r="AG79" s="2313"/>
      <c r="AH79" s="2313"/>
      <c r="AI79" s="2313"/>
      <c r="AJ79" s="2313"/>
      <c r="AK79" s="2313"/>
      <c r="AL79" s="2313"/>
      <c r="AM79" s="2313"/>
      <c r="AN79" s="2313"/>
      <c r="AO79" s="2313"/>
      <c r="AP79" s="2313"/>
      <c r="AQ79" s="2313"/>
      <c r="AR79" s="2313"/>
      <c r="AS79" s="2313"/>
      <c r="AT79" s="2314"/>
      <c r="AU79" s="1401"/>
      <c r="AV79" s="1658"/>
      <c r="AW79" s="1640"/>
      <c r="AX79" s="1640" t="str">
        <f>IF(T79="","",T79)</f>
        <v/>
      </c>
      <c r="AY79" s="1640"/>
      <c r="AZ79" s="1640"/>
      <c r="BA79" s="1658">
        <v>0</v>
      </c>
    </row>
    <row s="1866" customFormat="1" customHeight="1" ht="21">
      <c r="A80" s="1379"/>
      <c r="B80" s="1379"/>
      <c r="C80" s="1379"/>
      <c r="D80" s="1379"/>
      <c r="E80" s="2275"/>
      <c r="F80" s="2275" t="s">
        <v>28</v>
      </c>
      <c r="G80" s="2275"/>
      <c r="H80" s="2275"/>
      <c r="I80" s="2302"/>
      <c r="J80" s="2302"/>
      <c r="K80" s="2272" t="str">
        <f>S77&amp;".1"</f>
        <v>1.3.1.1.1</v>
      </c>
      <c r="L80" s="1385"/>
      <c r="M80" s="1792"/>
      <c r="N80" s="1792"/>
      <c r="O80" s="1792"/>
      <c r="P80" s="2390"/>
      <c r="Q80" s="2390"/>
      <c r="R80" s="2363">
        <v>1</v>
      </c>
      <c r="S80" s="2357" t="str">
        <f>$K80</f>
        <v>1.3.1.1.1</v>
      </c>
      <c r="T80" s="2360" t="s">
        <v>630</v>
      </c>
      <c r="U80" s="316"/>
      <c r="V80" s="767"/>
      <c r="W80" s="1273"/>
      <c r="X80" s="2618"/>
      <c r="Y80" s="2123" t="s">
        <v>64</v>
      </c>
      <c r="Z80" s="2618"/>
      <c r="AA80" s="2123" t="s">
        <v>64</v>
      </c>
      <c r="AB80" s="2123" t="s">
        <v>19</v>
      </c>
      <c r="AC80" s="2342"/>
      <c r="AD80" s="2453">
        <v>1</v>
      </c>
      <c r="AE80" s="2364" t="s">
        <v>28</v>
      </c>
      <c r="AF80" s="2123" t="s">
        <v>19</v>
      </c>
      <c r="AG80" s="2342"/>
      <c r="AH80" s="2453">
        <v>1</v>
      </c>
      <c r="AI80" s="2364" t="s">
        <v>28</v>
      </c>
      <c r="AJ80" s="2123" t="s">
        <v>19</v>
      </c>
      <c r="AK80" s="327"/>
      <c r="AL80" s="2453">
        <v>1</v>
      </c>
      <c r="AM80" s="1540" t="s">
        <v>28</v>
      </c>
      <c r="AN80" s="767"/>
      <c r="AO80" s="1273">
        <v>76.26</v>
      </c>
      <c r="AP80" s="2618">
        <v>45769.53203703704</v>
      </c>
      <c r="AQ80" s="2123" t="s">
        <v>64</v>
      </c>
      <c r="AR80" s="2618">
        <v>46022.476956018516</v>
      </c>
      <c r="AS80" s="2123" t="s">
        <v>64</v>
      </c>
      <c r="AT80" s="1364"/>
      <c r="AU80" s="2269" t="s">
        <v>613</v>
      </c>
      <c r="AV80" s="1658">
        <f>STRCHECKDATE(V83:AT83)</f>
      </c>
      <c r="AW80" s="1640"/>
      <c r="AX80" s="1640" t="str">
        <f>IF(T80="","",T80)</f>
        <v>Котельная</v>
      </c>
      <c r="AY80" s="1640"/>
      <c r="AZ80" s="1640"/>
      <c r="BA80" s="1651">
        <v>0</v>
      </c>
    </row>
    <row s="1866" customFormat="1" customHeight="1" ht="11.25">
      <c r="A81" s="1379"/>
      <c r="B81" s="1379"/>
      <c r="C81" s="1379"/>
      <c r="D81" s="1379"/>
      <c r="E81" s="2275"/>
      <c r="F81" s="2275" t="s">
        <v>28</v>
      </c>
      <c r="G81" s="2275"/>
      <c r="H81" s="2275"/>
      <c r="I81" s="2302"/>
      <c r="J81" s="2302"/>
      <c r="K81" s="2272"/>
      <c r="L81" s="1385"/>
      <c r="M81" s="1792"/>
      <c r="N81" s="1792"/>
      <c r="O81" s="1792"/>
      <c r="P81" s="2390"/>
      <c r="Q81" s="2390"/>
      <c r="R81" s="2363"/>
      <c r="S81" s="2358"/>
      <c r="T81" s="2361"/>
      <c r="U81" s="316"/>
      <c r="V81" s="2868"/>
      <c r="W81" s="2869"/>
      <c r="X81" s="2618"/>
      <c r="Y81" s="2123"/>
      <c r="Z81" s="2618"/>
      <c r="AA81" s="2123"/>
      <c r="AB81" s="2123"/>
      <c r="AC81" s="2342"/>
      <c r="AD81" s="2453"/>
      <c r="AE81" s="2364" t="s">
        <v>28</v>
      </c>
      <c r="AF81" s="2123"/>
      <c r="AG81" s="2342"/>
      <c r="AH81" s="2453"/>
      <c r="AI81" s="2364" t="s">
        <v>28</v>
      </c>
      <c r="AJ81" s="2123"/>
      <c r="AK81" s="2870"/>
      <c r="AL81" s="2871"/>
      <c r="AM81" s="2872" t="s">
        <v>614</v>
      </c>
      <c r="AN81" s="2873"/>
      <c r="AO81" s="2874"/>
      <c r="AP81" s="2875"/>
      <c r="AQ81" s="2876"/>
      <c r="AR81" s="2877"/>
      <c r="AS81" s="2878"/>
      <c r="AT81" s="1406"/>
      <c r="AU81" s="2270"/>
      <c r="AV81" s="1658"/>
      <c r="AW81" s="1640"/>
      <c r="AX81" s="1640"/>
      <c r="AY81" s="1640"/>
      <c r="AZ81" s="1640"/>
      <c r="BA81" s="1651">
        <v>0</v>
      </c>
    </row>
    <row s="1866" customFormat="1" customHeight="1" ht="11.25">
      <c r="A82" s="1379"/>
      <c r="B82" s="1379"/>
      <c r="C82" s="1379"/>
      <c r="D82" s="1379"/>
      <c r="E82" s="2275"/>
      <c r="F82" s="2275" t="s">
        <v>28</v>
      </c>
      <c r="G82" s="2275"/>
      <c r="H82" s="2275"/>
      <c r="I82" s="2302"/>
      <c r="J82" s="2302"/>
      <c r="K82" s="2272"/>
      <c r="L82" s="1385"/>
      <c r="M82" s="1792"/>
      <c r="N82" s="1792"/>
      <c r="O82" s="1792"/>
      <c r="P82" s="2390"/>
      <c r="Q82" s="2390"/>
      <c r="R82" s="2363"/>
      <c r="S82" s="2358"/>
      <c r="T82" s="2361"/>
      <c r="U82" s="316"/>
      <c r="V82" s="2879"/>
      <c r="W82" s="2880"/>
      <c r="X82" s="2618"/>
      <c r="Y82" s="2123"/>
      <c r="Z82" s="2618"/>
      <c r="AA82" s="2123"/>
      <c r="AB82" s="2123"/>
      <c r="AC82" s="2342"/>
      <c r="AD82" s="2453"/>
      <c r="AE82" s="2364" t="s">
        <v>28</v>
      </c>
      <c r="AF82" s="2123"/>
      <c r="AG82" s="2881"/>
      <c r="AH82" s="2882"/>
      <c r="AI82" s="2883" t="s">
        <v>615</v>
      </c>
      <c r="AJ82" s="2884"/>
      <c r="AK82" s="2885"/>
      <c r="AL82" s="2886"/>
      <c r="AM82" s="2887"/>
      <c r="AN82" s="2888"/>
      <c r="AO82" s="2889"/>
      <c r="AP82" s="2890"/>
      <c r="AQ82" s="2891"/>
      <c r="AR82" s="2892"/>
      <c r="AS82" s="2893"/>
      <c r="AT82" s="1406"/>
      <c r="AU82" s="2270"/>
      <c r="AV82" s="1658"/>
      <c r="AW82" s="1640"/>
      <c r="AX82" s="1640"/>
      <c r="AY82" s="1640"/>
      <c r="AZ82" s="1640"/>
      <c r="BA82" s="1651">
        <v>0</v>
      </c>
    </row>
    <row s="1866" customFormat="1" customHeight="1" ht="11.25">
      <c r="A83" s="1379"/>
      <c r="B83" s="1379"/>
      <c r="C83" s="1379"/>
      <c r="D83" s="1379"/>
      <c r="E83" s="2275"/>
      <c r="F83" s="2275" t="s">
        <v>28</v>
      </c>
      <c r="G83" s="2275"/>
      <c r="H83" s="2275"/>
      <c r="I83" s="2302"/>
      <c r="J83" s="2302"/>
      <c r="K83" s="2272"/>
      <c r="L83" s="1385"/>
      <c r="M83" s="1792"/>
      <c r="N83" s="1792"/>
      <c r="O83" s="1792"/>
      <c r="P83" s="2390"/>
      <c r="Q83" s="2390"/>
      <c r="R83" s="2363"/>
      <c r="S83" s="2359"/>
      <c r="T83" s="2362"/>
      <c r="U83" s="316"/>
      <c r="V83" s="2894"/>
      <c r="W83" s="2895" t="str">
        <f>X80&amp;"-"&amp;Z80</f>
        <v>-</v>
      </c>
      <c r="X83" s="2325"/>
      <c r="Y83" s="2123"/>
      <c r="Z83" s="2325"/>
      <c r="AA83" s="2123"/>
      <c r="AB83" s="2123"/>
      <c r="AC83" s="2896"/>
      <c r="AD83" s="2897"/>
      <c r="AE83" s="2898" t="s">
        <v>616</v>
      </c>
      <c r="AF83" s="2899"/>
      <c r="AG83" s="2900"/>
      <c r="AH83" s="2901"/>
      <c r="AI83" s="2902"/>
      <c r="AJ83" s="2903"/>
      <c r="AK83" s="2904"/>
      <c r="AL83" s="2905"/>
      <c r="AM83" s="2906"/>
      <c r="AN83" s="2907"/>
      <c r="AO83" s="2908" t="str">
        <f>AP80&amp;"-"&amp;AR80</f>
        <v>45769.53203703704-46022.476956018516</v>
      </c>
      <c r="AP83" s="2909"/>
      <c r="AQ83" s="2910"/>
      <c r="AR83" s="2911"/>
      <c r="AS83" s="2912"/>
      <c r="AT83" s="1365"/>
      <c r="AU83" s="2270"/>
      <c r="AV83" s="1658"/>
      <c r="AW83" s="1640"/>
      <c r="AX83" s="1640" t="str">
        <f>IF(T83="","",T83)</f>
        <v/>
      </c>
      <c r="AY83" s="1640"/>
      <c r="AZ83" s="1640"/>
      <c r="BA83" s="1651">
        <v>0</v>
      </c>
    </row>
    <row s="1866" customFormat="1" customHeight="1" ht="11.25">
      <c r="A84" s="1379"/>
      <c r="B84" s="1379"/>
      <c r="C84" s="1379"/>
      <c r="D84" s="1379"/>
      <c r="E84" s="2275"/>
      <c r="F84" s="2275" t="s">
        <v>28</v>
      </c>
      <c r="G84" s="2275"/>
      <c r="H84" s="2275"/>
      <c r="I84" s="2302"/>
      <c r="J84" s="2272"/>
      <c r="K84" s="1379"/>
      <c r="L84" s="1385"/>
      <c r="M84" s="1792"/>
      <c r="N84" s="1792"/>
      <c r="O84" s="1792"/>
      <c r="P84" s="2390"/>
      <c r="Q84" s="2390"/>
      <c r="R84" s="372"/>
      <c r="S84" s="2913"/>
      <c r="T84" s="2914" t="s">
        <v>617</v>
      </c>
      <c r="U84" s="2915"/>
      <c r="V84" s="2916"/>
      <c r="W84" s="2917"/>
      <c r="X84" s="2918"/>
      <c r="Y84" s="2919"/>
      <c r="Z84" s="2920"/>
      <c r="AA84" s="2921"/>
      <c r="AB84" s="2922"/>
      <c r="AC84" s="2923"/>
      <c r="AD84" s="2924"/>
      <c r="AE84" s="2925"/>
      <c r="AF84" s="2926"/>
      <c r="AG84" s="2927"/>
      <c r="AH84" s="2928"/>
      <c r="AI84" s="2929"/>
      <c r="AJ84" s="2930"/>
      <c r="AK84" s="2931"/>
      <c r="AL84" s="2932"/>
      <c r="AM84" s="2933"/>
      <c r="AN84" s="2934"/>
      <c r="AO84" s="2935"/>
      <c r="AP84" s="2936"/>
      <c r="AQ84" s="2937"/>
      <c r="AR84" s="2938"/>
      <c r="AS84" s="2939"/>
      <c r="AT84" s="2940"/>
      <c r="AU84" s="2271"/>
      <c r="AV84" s="1658"/>
      <c r="AW84" s="1640"/>
      <c r="AX84" s="1640" t="str">
        <f>IF(T84="","",T84)</f>
        <v>Добавить строку</v>
      </c>
      <c r="AY84" s="1640"/>
      <c r="AZ84" s="1640"/>
      <c r="BA84" s="1651">
        <v>0</v>
      </c>
    </row>
    <row s="638" customFormat="1" customHeight="1" ht="0.75">
      <c r="A85" s="1359"/>
      <c r="B85" s="1359"/>
      <c r="C85" s="1359"/>
      <c r="D85" s="1359"/>
      <c r="E85" s="2275"/>
      <c r="F85" s="2275" t="s">
        <v>28</v>
      </c>
      <c r="G85" s="2275"/>
      <c r="H85" s="2275"/>
      <c r="I85" s="2272"/>
      <c r="J85" s="1359"/>
      <c r="K85" s="1359"/>
      <c r="L85" s="1561"/>
      <c r="M85" s="526"/>
      <c r="N85" s="526"/>
      <c r="O85" s="526"/>
      <c r="P85" s="2390"/>
      <c r="Q85" s="2390"/>
      <c r="R85" s="372"/>
      <c r="S85" s="1402"/>
      <c r="T85" s="1403"/>
      <c r="U85" s="1404"/>
      <c r="V85" s="1404"/>
      <c r="W85" s="1404"/>
      <c r="X85" s="1404"/>
      <c r="Y85" s="1404"/>
      <c r="Z85" s="1404"/>
      <c r="AA85" s="1404"/>
      <c r="AB85" s="1404"/>
      <c r="AC85" s="1404"/>
      <c r="AD85" s="1404"/>
      <c r="AE85" s="1404"/>
      <c r="AF85" s="1404"/>
      <c r="AG85" s="1404"/>
      <c r="AH85" s="1404"/>
      <c r="AI85" s="1404"/>
      <c r="AJ85" s="1404"/>
      <c r="AK85" s="1404"/>
      <c r="AL85" s="1404"/>
      <c r="AM85" s="1404"/>
      <c r="AN85" s="1404"/>
      <c r="AO85" s="1404"/>
      <c r="AP85" s="1404"/>
      <c r="AQ85" s="1404"/>
      <c r="AR85" s="1404"/>
      <c r="AS85" s="1404"/>
      <c r="AT85" s="1404"/>
      <c r="AU85" s="1405"/>
      <c r="AV85" s="1658"/>
      <c r="AW85" s="1640"/>
      <c r="AX85" s="1640" t="str">
        <f>IF(T85="","",T85)</f>
        <v/>
      </c>
      <c r="AY85" s="1640"/>
      <c r="AZ85" s="1640"/>
      <c r="BA85" s="1658">
        <v>0</v>
      </c>
    </row>
    <row s="638" customFormat="1" customHeight="1" ht="0.75">
      <c r="A86" s="1359"/>
      <c r="B86" s="1359"/>
      <c r="C86" s="1359"/>
      <c r="D86" s="1359"/>
      <c r="E86" s="2275"/>
      <c r="F86" s="2275" t="s">
        <v>28</v>
      </c>
      <c r="G86" s="2275"/>
      <c r="H86" s="2274"/>
      <c r="I86" s="1359"/>
      <c r="J86" s="1359"/>
      <c r="K86" s="1359"/>
      <c r="L86" s="1561"/>
      <c r="M86" s="1331"/>
      <c r="N86" s="1331"/>
      <c r="O86" s="1658"/>
      <c r="P86" s="1332"/>
      <c r="Q86" s="1360"/>
      <c r="R86" s="1417"/>
      <c r="S86" s="1402"/>
      <c r="T86" s="1403"/>
      <c r="U86" s="1404"/>
      <c r="V86" s="1404"/>
      <c r="W86" s="1404"/>
      <c r="X86" s="1404"/>
      <c r="Y86" s="1404"/>
      <c r="Z86" s="1404"/>
      <c r="AA86" s="1404"/>
      <c r="AB86" s="1404"/>
      <c r="AC86" s="1404"/>
      <c r="AD86" s="1404"/>
      <c r="AE86" s="1404"/>
      <c r="AF86" s="1404"/>
      <c r="AG86" s="1404"/>
      <c r="AH86" s="1404"/>
      <c r="AI86" s="1404"/>
      <c r="AJ86" s="1404"/>
      <c r="AK86" s="1404"/>
      <c r="AL86" s="1404"/>
      <c r="AM86" s="1404"/>
      <c r="AN86" s="1404"/>
      <c r="AO86" s="1404"/>
      <c r="AP86" s="1404"/>
      <c r="AQ86" s="1404"/>
      <c r="AR86" s="1404"/>
      <c r="AS86" s="1404"/>
      <c r="AT86" s="1404"/>
      <c r="AU86" s="1405"/>
      <c r="AV86" s="1658"/>
      <c r="AW86" s="1640"/>
      <c r="AX86" s="1640" t="str">
        <f>IF(T86="","",T86)</f>
        <v/>
      </c>
      <c r="AY86" s="1640"/>
      <c r="AZ86" s="1640"/>
      <c r="BA86" s="1658">
        <v>0</v>
      </c>
    </row>
    <row s="638" customFormat="1" customHeight="1" ht="0.75">
      <c r="A87" s="1359"/>
      <c r="B87" s="1359"/>
      <c r="C87" s="1359"/>
      <c r="D87" s="1359"/>
      <c r="E87" s="2275"/>
      <c r="F87" s="2275" t="s">
        <v>28</v>
      </c>
      <c r="G87" s="2274"/>
      <c r="H87" s="1359"/>
      <c r="I87" s="1359"/>
      <c r="J87" s="1359"/>
      <c r="K87" s="1359"/>
      <c r="L87" s="1561"/>
      <c r="M87" s="1331"/>
      <c r="N87" s="1331"/>
      <c r="O87" s="1658"/>
      <c r="P87" s="1332"/>
      <c r="Q87" s="1360"/>
      <c r="R87" s="1332"/>
      <c r="S87" s="1338"/>
      <c r="T87" s="1341" t="s">
        <v>268</v>
      </c>
      <c r="U87" s="1340"/>
      <c r="V87" s="1340"/>
      <c r="W87" s="1340"/>
      <c r="X87" s="1340"/>
      <c r="Y87" s="1340"/>
      <c r="Z87" s="1340"/>
      <c r="AA87" s="1340"/>
      <c r="AB87" s="1340"/>
      <c r="AC87" s="1340"/>
      <c r="AD87" s="1340"/>
      <c r="AE87" s="1340"/>
      <c r="AF87" s="1340"/>
      <c r="AG87" s="1340"/>
      <c r="AH87" s="1340"/>
      <c r="AI87" s="1340"/>
      <c r="AJ87" s="1340"/>
      <c r="AK87" s="1340"/>
      <c r="AL87" s="1340"/>
      <c r="AM87" s="1340"/>
      <c r="AN87" s="1340"/>
      <c r="AO87" s="1340"/>
      <c r="AP87" s="1340"/>
      <c r="AQ87" s="1340"/>
      <c r="AR87" s="1340"/>
      <c r="AS87" s="1340"/>
      <c r="AT87" s="1340"/>
      <c r="AU87" s="1340"/>
      <c r="AV87" s="1658"/>
      <c r="AW87" s="1640"/>
      <c r="AX87" s="1640" t="str">
        <f>IF(T87="","",T87)</f>
        <v>Добавить источник для дифференциации</v>
      </c>
      <c r="AY87" s="1640"/>
      <c r="AZ87" s="1640"/>
      <c r="BA87" s="1658">
        <v>0</v>
      </c>
    </row>
    <row s="1866" customFormat="1" customHeight="1" ht="22.5">
      <c r="A88" s="1379"/>
      <c r="B88" s="1379"/>
      <c r="C88" s="1379" t="s">
        <v>278</v>
      </c>
      <c r="D88" s="1379"/>
      <c r="E88" s="2275"/>
      <c r="F88" s="2275"/>
      <c r="G88" s="2274" t="s">
        <v>107</v>
      </c>
      <c r="H88" s="1379"/>
      <c r="I88" s="1379"/>
      <c r="J88" s="1379"/>
      <c r="K88" s="1379"/>
      <c r="L88" s="1385"/>
      <c r="M88" s="1381"/>
      <c r="N88" s="1381"/>
      <c r="O88" s="1381"/>
      <c r="P88" s="1428"/>
      <c r="Q88" s="1427"/>
      <c r="R88" s="369"/>
      <c r="S88" s="2289" t="str">
        <f>INDEX(PT_DIFFERENTIATION_NUM_CS,MATCH(C88,PT_DIFFERENTIATION_CS_ID,0))</f>
        <v>1.3.2</v>
      </c>
      <c r="T88" s="325" t="s">
        <v>552</v>
      </c>
      <c r="U88" s="316"/>
      <c r="V88" s="2259"/>
      <c r="W88" s="2259"/>
      <c r="X88" s="2259"/>
      <c r="Y88" s="2259"/>
      <c r="Z88" s="2259"/>
      <c r="AA88" s="2260"/>
      <c r="AB88" s="2258" t="str">
        <f>INDEX(PT_DIFFERENTIATION_CS,MATCH(C88,PT_DIFFERENTIATION_CS_ID,0))</f>
        <v>пгт. Кавалерово Кавалеровский муниципальный округ</v>
      </c>
      <c r="AC88" s="2259"/>
      <c r="AD88" s="2259"/>
      <c r="AE88" s="2259"/>
      <c r="AF88" s="2259"/>
      <c r="AG88" s="2259"/>
      <c r="AH88" s="2259"/>
      <c r="AI88" s="2259"/>
      <c r="AJ88" s="2259"/>
      <c r="AK88" s="2259"/>
      <c r="AL88" s="2259"/>
      <c r="AM88" s="2259"/>
      <c r="AN88" s="2259"/>
      <c r="AO88" s="2259"/>
      <c r="AP88" s="2259"/>
      <c r="AQ88" s="2259"/>
      <c r="AR88" s="2259"/>
      <c r="AS88" s="2259"/>
      <c r="AT88" s="2260"/>
      <c r="AU88" s="1274" t="s">
        <v>553</v>
      </c>
      <c r="AV88" s="1658"/>
      <c r="AW88" s="1640"/>
      <c r="AX88" s="1640" t="str">
        <f>IF(T88="","",T88)</f>
        <v>Наименование системы теплоснабжения </v>
      </c>
      <c r="AY88" s="1640"/>
      <c r="AZ88" s="1640"/>
      <c r="BA88" s="1651">
        <v>0</v>
      </c>
    </row>
    <row s="1866" customFormat="1" customHeight="1" ht="21">
      <c r="A89" s="1379"/>
      <c r="B89" s="1379"/>
      <c r="C89" s="1379"/>
      <c r="D89" s="1379" t="s">
        <v>279</v>
      </c>
      <c r="E89" s="2275"/>
      <c r="F89" s="2275"/>
      <c r="G89" s="2275">
        <v>1</v>
      </c>
      <c r="H89" s="2274">
        <v>1</v>
      </c>
      <c r="I89" s="1379"/>
      <c r="J89" s="1379"/>
      <c r="K89" s="1379"/>
      <c r="L89" s="1385"/>
      <c r="M89" s="1381"/>
      <c r="N89" s="1381"/>
      <c r="O89" s="1381"/>
      <c r="P89" s="1428"/>
      <c r="Q89" s="1427"/>
      <c r="R89" s="369"/>
      <c r="S89" s="2289" t="str">
        <f>INDEX(PT_DIFFERENTIATION_NUM_IST_TE,MATCH(D89,PT_DIFFERENTIATION_IST_TE_ID,0))</f>
        <v>1.3.2.1</v>
      </c>
      <c r="T89" s="326" t="s">
        <v>554</v>
      </c>
      <c r="U89" s="316"/>
      <c r="V89" s="2259"/>
      <c r="W89" s="2259"/>
      <c r="X89" s="2259"/>
      <c r="Y89" s="2259"/>
      <c r="Z89" s="2259"/>
      <c r="AA89" s="2260"/>
      <c r="AB89" s="2258" t="str">
        <f>INDEX(PT_DIFFERENTIATION_IST_TE,MATCH(D89,PT_DIFFERENTIATION_IST_TE_ID,0))</f>
        <v>без дифференциации</v>
      </c>
      <c r="AC89" s="2259"/>
      <c r="AD89" s="2259"/>
      <c r="AE89" s="2259"/>
      <c r="AF89" s="2259"/>
      <c r="AG89" s="2259"/>
      <c r="AH89" s="2259"/>
      <c r="AI89" s="2259"/>
      <c r="AJ89" s="2259"/>
      <c r="AK89" s="2259"/>
      <c r="AL89" s="2259"/>
      <c r="AM89" s="2259"/>
      <c r="AN89" s="2259"/>
      <c r="AO89" s="2259"/>
      <c r="AP89" s="2259"/>
      <c r="AQ89" s="2259"/>
      <c r="AR89" s="2259"/>
      <c r="AS89" s="2259"/>
      <c r="AT89" s="2260"/>
      <c r="AU89" s="1274" t="s">
        <v>555</v>
      </c>
      <c r="AV89" s="1658"/>
      <c r="AW89" s="1640"/>
      <c r="AX89" s="1640" t="str">
        <f>IF(T89="","",T89)</f>
        <v>Источник тепловой энергии  </v>
      </c>
      <c r="AY89" s="1640"/>
      <c r="AZ89" s="1640"/>
      <c r="BA89" s="1651">
        <v>0</v>
      </c>
    </row>
    <row s="638" customFormat="1" customHeight="1" ht="0.75">
      <c r="A90" s="1359"/>
      <c r="B90" s="1359"/>
      <c r="C90" s="1359"/>
      <c r="D90" s="1359"/>
      <c r="E90" s="2275"/>
      <c r="F90" s="2275"/>
      <c r="G90" s="2275">
        <v>1</v>
      </c>
      <c r="H90" s="2275"/>
      <c r="I90" s="2272" t="str">
        <f>S89&amp;".1"</f>
        <v>1.3.2.1.1</v>
      </c>
      <c r="J90" s="1359"/>
      <c r="K90" s="1359"/>
      <c r="L90" s="1561" t="s">
        <v>556</v>
      </c>
      <c r="M90" s="526"/>
      <c r="N90" s="526"/>
      <c r="O90" s="526"/>
      <c r="P90" s="2390">
        <v>1</v>
      </c>
      <c r="Q90" s="2390"/>
      <c r="R90" s="372"/>
      <c r="S90" s="2320"/>
      <c r="T90" s="1399"/>
      <c r="U90" s="1400"/>
      <c r="V90" s="2313"/>
      <c r="W90" s="2313"/>
      <c r="X90" s="2313"/>
      <c r="Y90" s="2313"/>
      <c r="Z90" s="2313"/>
      <c r="AA90" s="2314"/>
      <c r="AB90" s="2312"/>
      <c r="AC90" s="2313"/>
      <c r="AD90" s="2313"/>
      <c r="AE90" s="2313"/>
      <c r="AF90" s="2313"/>
      <c r="AG90" s="2313"/>
      <c r="AH90" s="2313"/>
      <c r="AI90" s="2313"/>
      <c r="AJ90" s="2313"/>
      <c r="AK90" s="2313"/>
      <c r="AL90" s="2313"/>
      <c r="AM90" s="2313"/>
      <c r="AN90" s="2313"/>
      <c r="AO90" s="2313"/>
      <c r="AP90" s="2313"/>
      <c r="AQ90" s="2313"/>
      <c r="AR90" s="2313"/>
      <c r="AS90" s="2313"/>
      <c r="AT90" s="2314"/>
      <c r="AU90" s="1401"/>
      <c r="AV90" s="1658"/>
      <c r="AW90" s="1640"/>
      <c r="AX90" s="1640" t="str">
        <f>IF(T90="","",T90)</f>
        <v/>
      </c>
      <c r="AY90" s="1640"/>
      <c r="AZ90" s="1640"/>
      <c r="BA90" s="1658">
        <v>0</v>
      </c>
    </row>
    <row s="638" customFormat="1" customHeight="1" ht="0.75">
      <c r="A91" s="1359"/>
      <c r="B91" s="1359"/>
      <c r="C91" s="1359"/>
      <c r="D91" s="1359"/>
      <c r="E91" s="2275"/>
      <c r="F91" s="2275"/>
      <c r="G91" s="2275">
        <v>1</v>
      </c>
      <c r="H91" s="2275"/>
      <c r="I91" s="2302"/>
      <c r="J91" s="2272" t="str">
        <f>S89&amp;".1"</f>
        <v>1.3.2.1.1</v>
      </c>
      <c r="K91" s="1359"/>
      <c r="L91" s="1561"/>
      <c r="M91" s="526"/>
      <c r="N91" s="526"/>
      <c r="O91" s="526"/>
      <c r="P91" s="2390"/>
      <c r="Q91" s="2390">
        <v>1</v>
      </c>
      <c r="R91" s="373"/>
      <c r="S91" s="2320"/>
      <c r="T91" s="1415"/>
      <c r="U91" s="1400"/>
      <c r="V91" s="2313"/>
      <c r="W91" s="2313"/>
      <c r="X91" s="2313"/>
      <c r="Y91" s="2313"/>
      <c r="Z91" s="2313"/>
      <c r="AA91" s="2314"/>
      <c r="AB91" s="2312"/>
      <c r="AC91" s="2313"/>
      <c r="AD91" s="2313"/>
      <c r="AE91" s="2313"/>
      <c r="AF91" s="2313"/>
      <c r="AG91" s="2313"/>
      <c r="AH91" s="2313"/>
      <c r="AI91" s="2313"/>
      <c r="AJ91" s="2313"/>
      <c r="AK91" s="2313"/>
      <c r="AL91" s="2313"/>
      <c r="AM91" s="2313"/>
      <c r="AN91" s="2313"/>
      <c r="AO91" s="2313"/>
      <c r="AP91" s="2313"/>
      <c r="AQ91" s="2313"/>
      <c r="AR91" s="2313"/>
      <c r="AS91" s="2313"/>
      <c r="AT91" s="2314"/>
      <c r="AU91" s="1401"/>
      <c r="AV91" s="1658"/>
      <c r="AW91" s="1640"/>
      <c r="AX91" s="1640" t="str">
        <f>IF(T91="","",T91)</f>
        <v/>
      </c>
      <c r="AY91" s="1640"/>
      <c r="AZ91" s="1640"/>
      <c r="BA91" s="1658">
        <v>0</v>
      </c>
    </row>
    <row s="1866" customFormat="1" customHeight="1" ht="21">
      <c r="A92" s="1379"/>
      <c r="B92" s="1379"/>
      <c r="C92" s="1379"/>
      <c r="D92" s="1379"/>
      <c r="E92" s="2275"/>
      <c r="F92" s="2275"/>
      <c r="G92" s="2275">
        <v>1</v>
      </c>
      <c r="H92" s="2275"/>
      <c r="I92" s="2302"/>
      <c r="J92" s="2302"/>
      <c r="K92" s="2272" t="str">
        <f>S89&amp;".1"</f>
        <v>1.3.2.1.1</v>
      </c>
      <c r="L92" s="1385"/>
      <c r="M92" s="1792"/>
      <c r="N92" s="1792"/>
      <c r="O92" s="1792"/>
      <c r="P92" s="2390"/>
      <c r="Q92" s="2390"/>
      <c r="R92" s="2363">
        <v>1</v>
      </c>
      <c r="S92" s="2357" t="str">
        <f>$K92</f>
        <v>1.3.2.1.1</v>
      </c>
      <c r="T92" s="2360" t="s">
        <v>630</v>
      </c>
      <c r="U92" s="316"/>
      <c r="V92" s="767"/>
      <c r="W92" s="1273"/>
      <c r="X92" s="2618"/>
      <c r="Y92" s="2123" t="s">
        <v>64</v>
      </c>
      <c r="Z92" s="2618"/>
      <c r="AA92" s="2123" t="s">
        <v>64</v>
      </c>
      <c r="AB92" s="2123" t="s">
        <v>19</v>
      </c>
      <c r="AC92" s="2342"/>
      <c r="AD92" s="2453">
        <v>1</v>
      </c>
      <c r="AE92" s="2364" t="s">
        <v>28</v>
      </c>
      <c r="AF92" s="2123" t="s">
        <v>19</v>
      </c>
      <c r="AG92" s="2342"/>
      <c r="AH92" s="2453">
        <v>1</v>
      </c>
      <c r="AI92" s="2364" t="s">
        <v>28</v>
      </c>
      <c r="AJ92" s="2123" t="s">
        <v>19</v>
      </c>
      <c r="AK92" s="327"/>
      <c r="AL92" s="2453">
        <v>1</v>
      </c>
      <c r="AM92" s="1540" t="s">
        <v>28</v>
      </c>
      <c r="AN92" s="767"/>
      <c r="AO92" s="1273">
        <v>3.479</v>
      </c>
      <c r="AP92" s="2618">
        <v>45812</v>
      </c>
      <c r="AQ92" s="2123" t="s">
        <v>64</v>
      </c>
      <c r="AR92" s="2618">
        <v>46022</v>
      </c>
      <c r="AS92" s="2123" t="s">
        <v>64</v>
      </c>
      <c r="AT92" s="1364"/>
      <c r="AU92" s="2269" t="s">
        <v>613</v>
      </c>
      <c r="AV92" s="1658">
        <f>STRCHECKDATE(V95:AT95)</f>
      </c>
      <c r="AW92" s="1640"/>
      <c r="AX92" s="1640" t="str">
        <f>IF(T92="","",T92)</f>
        <v>Котельная</v>
      </c>
      <c r="AY92" s="1640"/>
      <c r="AZ92" s="1640"/>
      <c r="BA92" s="1651">
        <v>0</v>
      </c>
    </row>
    <row s="1866" customFormat="1" customHeight="1" ht="11.25">
      <c r="A93" s="1379"/>
      <c r="B93" s="1379"/>
      <c r="C93" s="1379"/>
      <c r="D93" s="1379"/>
      <c r="E93" s="2275"/>
      <c r="F93" s="2275"/>
      <c r="G93" s="2275">
        <v>1</v>
      </c>
      <c r="H93" s="2275"/>
      <c r="I93" s="2302"/>
      <c r="J93" s="2302"/>
      <c r="K93" s="2272"/>
      <c r="L93" s="1385"/>
      <c r="M93" s="1792"/>
      <c r="N93" s="1792"/>
      <c r="O93" s="1792"/>
      <c r="P93" s="2390"/>
      <c r="Q93" s="2390"/>
      <c r="R93" s="2363"/>
      <c r="S93" s="2358"/>
      <c r="T93" s="2361"/>
      <c r="U93" s="316"/>
      <c r="V93" s="3240"/>
      <c r="W93" s="3241"/>
      <c r="X93" s="2618"/>
      <c r="Y93" s="2123"/>
      <c r="Z93" s="2618"/>
      <c r="AA93" s="2123"/>
      <c r="AB93" s="2123"/>
      <c r="AC93" s="2342"/>
      <c r="AD93" s="2453"/>
      <c r="AE93" s="2364" t="s">
        <v>28</v>
      </c>
      <c r="AF93" s="2123"/>
      <c r="AG93" s="2342"/>
      <c r="AH93" s="2453"/>
      <c r="AI93" s="2364" t="s">
        <v>28</v>
      </c>
      <c r="AJ93" s="2123"/>
      <c r="AK93" s="3242"/>
      <c r="AL93" s="3243"/>
      <c r="AM93" s="3244" t="s">
        <v>614</v>
      </c>
      <c r="AN93" s="3245"/>
      <c r="AO93" s="3246"/>
      <c r="AP93" s="3247"/>
      <c r="AQ93" s="3248"/>
      <c r="AR93" s="3249"/>
      <c r="AS93" s="3250"/>
      <c r="AT93" s="1406"/>
      <c r="AU93" s="2270"/>
      <c r="AV93" s="1658"/>
      <c r="AW93" s="1640"/>
      <c r="AX93" s="1640"/>
      <c r="AY93" s="1640"/>
      <c r="AZ93" s="1640"/>
      <c r="BA93" s="1651">
        <v>0</v>
      </c>
    </row>
    <row s="1866" customFormat="1" customHeight="1" ht="11.25">
      <c r="A94" s="1379"/>
      <c r="B94" s="1379"/>
      <c r="C94" s="1379"/>
      <c r="D94" s="1379"/>
      <c r="E94" s="2275"/>
      <c r="F94" s="2275"/>
      <c r="G94" s="2275">
        <v>1</v>
      </c>
      <c r="H94" s="2275"/>
      <c r="I94" s="2302"/>
      <c r="J94" s="2302"/>
      <c r="K94" s="2272"/>
      <c r="L94" s="1385"/>
      <c r="M94" s="1792"/>
      <c r="N94" s="1792"/>
      <c r="O94" s="1792"/>
      <c r="P94" s="2390"/>
      <c r="Q94" s="2390"/>
      <c r="R94" s="2363"/>
      <c r="S94" s="2358"/>
      <c r="T94" s="2361"/>
      <c r="U94" s="316"/>
      <c r="V94" s="3251"/>
      <c r="W94" s="3252"/>
      <c r="X94" s="2618"/>
      <c r="Y94" s="2123"/>
      <c r="Z94" s="2618"/>
      <c r="AA94" s="2123"/>
      <c r="AB94" s="2123"/>
      <c r="AC94" s="2342"/>
      <c r="AD94" s="2453"/>
      <c r="AE94" s="2364" t="s">
        <v>28</v>
      </c>
      <c r="AF94" s="2123"/>
      <c r="AG94" s="3253"/>
      <c r="AH94" s="3254"/>
      <c r="AI94" s="3255" t="s">
        <v>615</v>
      </c>
      <c r="AJ94" s="3256"/>
      <c r="AK94" s="3257"/>
      <c r="AL94" s="3258"/>
      <c r="AM94" s="3259"/>
      <c r="AN94" s="3260"/>
      <c r="AO94" s="3261"/>
      <c r="AP94" s="3262"/>
      <c r="AQ94" s="3263"/>
      <c r="AR94" s="3264"/>
      <c r="AS94" s="3265"/>
      <c r="AT94" s="1406"/>
      <c r="AU94" s="2270"/>
      <c r="AV94" s="1658"/>
      <c r="AW94" s="1640"/>
      <c r="AX94" s="1640"/>
      <c r="AY94" s="1640"/>
      <c r="AZ94" s="1640"/>
      <c r="BA94" s="1651">
        <v>0</v>
      </c>
    </row>
    <row s="1866" customFormat="1" customHeight="1" ht="11.25">
      <c r="A95" s="1379"/>
      <c r="B95" s="1379"/>
      <c r="C95" s="1379"/>
      <c r="D95" s="1379"/>
      <c r="E95" s="2275"/>
      <c r="F95" s="2275"/>
      <c r="G95" s="2275">
        <v>1</v>
      </c>
      <c r="H95" s="2275"/>
      <c r="I95" s="2302"/>
      <c r="J95" s="2302"/>
      <c r="K95" s="2272"/>
      <c r="L95" s="1385"/>
      <c r="M95" s="1792"/>
      <c r="N95" s="1792"/>
      <c r="O95" s="1792"/>
      <c r="P95" s="2390"/>
      <c r="Q95" s="2390"/>
      <c r="R95" s="2363"/>
      <c r="S95" s="2359"/>
      <c r="T95" s="2362"/>
      <c r="U95" s="316"/>
      <c r="V95" s="3266"/>
      <c r="W95" s="3267" t="str">
        <f>X92&amp;"-"&amp;Z92</f>
        <v>-</v>
      </c>
      <c r="X95" s="2325"/>
      <c r="Y95" s="2123"/>
      <c r="Z95" s="2325"/>
      <c r="AA95" s="2123"/>
      <c r="AB95" s="2123"/>
      <c r="AC95" s="3268"/>
      <c r="AD95" s="3269"/>
      <c r="AE95" s="3270" t="s">
        <v>616</v>
      </c>
      <c r="AF95" s="3271"/>
      <c r="AG95" s="3272"/>
      <c r="AH95" s="3273"/>
      <c r="AI95" s="3274"/>
      <c r="AJ95" s="3275"/>
      <c r="AK95" s="3276"/>
      <c r="AL95" s="3277"/>
      <c r="AM95" s="3278"/>
      <c r="AN95" s="3279"/>
      <c r="AO95" s="3280" t="str">
        <f>AP92&amp;"-"&amp;AR92</f>
        <v>45812-46022</v>
      </c>
      <c r="AP95" s="3281"/>
      <c r="AQ95" s="3282"/>
      <c r="AR95" s="3283"/>
      <c r="AS95" s="3284"/>
      <c r="AT95" s="1365"/>
      <c r="AU95" s="2270"/>
      <c r="AV95" s="1658"/>
      <c r="AW95" s="1640"/>
      <c r="AX95" s="1640" t="str">
        <f>IF(T95="","",T95)</f>
        <v/>
      </c>
      <c r="AY95" s="1640"/>
      <c r="AZ95" s="1640"/>
      <c r="BA95" s="1651">
        <v>0</v>
      </c>
    </row>
    <row s="1866" customFormat="1" customHeight="1" ht="11.25">
      <c r="A96" s="1379"/>
      <c r="B96" s="1379"/>
      <c r="C96" s="1379"/>
      <c r="D96" s="1379"/>
      <c r="E96" s="2275"/>
      <c r="F96" s="2275"/>
      <c r="G96" s="2275">
        <v>1</v>
      </c>
      <c r="H96" s="2275"/>
      <c r="I96" s="2302"/>
      <c r="J96" s="2272"/>
      <c r="K96" s="1379"/>
      <c r="L96" s="1385"/>
      <c r="M96" s="1792"/>
      <c r="N96" s="1792"/>
      <c r="O96" s="1792"/>
      <c r="P96" s="2390"/>
      <c r="Q96" s="2390"/>
      <c r="R96" s="372"/>
      <c r="S96" s="3285"/>
      <c r="T96" s="3286" t="s">
        <v>617</v>
      </c>
      <c r="U96" s="3287"/>
      <c r="V96" s="3288"/>
      <c r="W96" s="3289"/>
      <c r="X96" s="3290"/>
      <c r="Y96" s="3291"/>
      <c r="Z96" s="3292"/>
      <c r="AA96" s="3293"/>
      <c r="AB96" s="3294"/>
      <c r="AC96" s="3295"/>
      <c r="AD96" s="3296"/>
      <c r="AE96" s="3297"/>
      <c r="AF96" s="3298"/>
      <c r="AG96" s="3299"/>
      <c r="AH96" s="3300"/>
      <c r="AI96" s="3301"/>
      <c r="AJ96" s="3302"/>
      <c r="AK96" s="3303"/>
      <c r="AL96" s="3304"/>
      <c r="AM96" s="3305"/>
      <c r="AN96" s="3306"/>
      <c r="AO96" s="3307"/>
      <c r="AP96" s="3308"/>
      <c r="AQ96" s="3309"/>
      <c r="AR96" s="3310"/>
      <c r="AS96" s="3311"/>
      <c r="AT96" s="3312"/>
      <c r="AU96" s="2271"/>
      <c r="AV96" s="1658"/>
      <c r="AW96" s="1640"/>
      <c r="AX96" s="1640" t="str">
        <f>IF(T96="","",T96)</f>
        <v>Добавить строку</v>
      </c>
      <c r="AY96" s="1640"/>
      <c r="AZ96" s="1640"/>
      <c r="BA96" s="1651">
        <v>0</v>
      </c>
    </row>
    <row s="638" customFormat="1" customHeight="1" ht="0.75">
      <c r="A97" s="1359"/>
      <c r="B97" s="1359"/>
      <c r="C97" s="1359"/>
      <c r="D97" s="1359"/>
      <c r="E97" s="2275"/>
      <c r="F97" s="2275"/>
      <c r="G97" s="2275">
        <v>1</v>
      </c>
      <c r="H97" s="2275"/>
      <c r="I97" s="2272"/>
      <c r="J97" s="1359"/>
      <c r="K97" s="1359"/>
      <c r="L97" s="1561"/>
      <c r="M97" s="526"/>
      <c r="N97" s="526"/>
      <c r="O97" s="526"/>
      <c r="P97" s="2390"/>
      <c r="Q97" s="2390"/>
      <c r="R97" s="372"/>
      <c r="S97" s="1402"/>
      <c r="T97" s="1403"/>
      <c r="U97" s="1404"/>
      <c r="V97" s="1404"/>
      <c r="W97" s="1404"/>
      <c r="X97" s="1404"/>
      <c r="Y97" s="1404"/>
      <c r="Z97" s="1404"/>
      <c r="AA97" s="1404"/>
      <c r="AB97" s="1404"/>
      <c r="AC97" s="1404"/>
      <c r="AD97" s="1404"/>
      <c r="AE97" s="1404"/>
      <c r="AF97" s="1404"/>
      <c r="AG97" s="1404"/>
      <c r="AH97" s="1404"/>
      <c r="AI97" s="1404"/>
      <c r="AJ97" s="1404"/>
      <c r="AK97" s="1404"/>
      <c r="AL97" s="1404"/>
      <c r="AM97" s="1404"/>
      <c r="AN97" s="1404"/>
      <c r="AO97" s="1404"/>
      <c r="AP97" s="1404"/>
      <c r="AQ97" s="1404"/>
      <c r="AR97" s="1404"/>
      <c r="AS97" s="1404"/>
      <c r="AT97" s="1404"/>
      <c r="AU97" s="1405"/>
      <c r="AV97" s="1658"/>
      <c r="AW97" s="1640"/>
      <c r="AX97" s="1640" t="str">
        <f>IF(T97="","",T97)</f>
        <v/>
      </c>
      <c r="AY97" s="1640"/>
      <c r="AZ97" s="1640"/>
      <c r="BA97" s="1658">
        <v>0</v>
      </c>
    </row>
    <row s="638" customFormat="1" customHeight="1" ht="0.75">
      <c r="A98" s="1359"/>
      <c r="B98" s="1359"/>
      <c r="C98" s="1359"/>
      <c r="D98" s="1359"/>
      <c r="E98" s="2275"/>
      <c r="F98" s="2275"/>
      <c r="G98" s="2275">
        <v>1</v>
      </c>
      <c r="H98" s="2274"/>
      <c r="I98" s="1359"/>
      <c r="J98" s="1359"/>
      <c r="K98" s="1359"/>
      <c r="L98" s="1561"/>
      <c r="M98" s="1331"/>
      <c r="N98" s="1331"/>
      <c r="O98" s="1658"/>
      <c r="P98" s="1332"/>
      <c r="Q98" s="1360"/>
      <c r="R98" s="1417"/>
      <c r="S98" s="1402"/>
      <c r="T98" s="1403"/>
      <c r="U98" s="1404"/>
      <c r="V98" s="1404"/>
      <c r="W98" s="1404"/>
      <c r="X98" s="1404"/>
      <c r="Y98" s="1404"/>
      <c r="Z98" s="1404"/>
      <c r="AA98" s="1404"/>
      <c r="AB98" s="1404"/>
      <c r="AC98" s="1404"/>
      <c r="AD98" s="1404"/>
      <c r="AE98" s="1404"/>
      <c r="AF98" s="1404"/>
      <c r="AG98" s="1404"/>
      <c r="AH98" s="1404"/>
      <c r="AI98" s="1404"/>
      <c r="AJ98" s="1404"/>
      <c r="AK98" s="1404"/>
      <c r="AL98" s="1404"/>
      <c r="AM98" s="1404"/>
      <c r="AN98" s="1404"/>
      <c r="AO98" s="1404"/>
      <c r="AP98" s="1404"/>
      <c r="AQ98" s="1404"/>
      <c r="AR98" s="1404"/>
      <c r="AS98" s="1404"/>
      <c r="AT98" s="1404"/>
      <c r="AU98" s="1405"/>
      <c r="AV98" s="1658"/>
      <c r="AW98" s="1640"/>
      <c r="AX98" s="1640" t="str">
        <f>IF(T98="","",T98)</f>
        <v/>
      </c>
      <c r="AY98" s="1640"/>
      <c r="AZ98" s="1640"/>
      <c r="BA98" s="1658">
        <v>0</v>
      </c>
    </row>
    <row s="638" customFormat="1" customHeight="1" ht="0.75">
      <c r="A99" s="1359"/>
      <c r="B99" s="1359"/>
      <c r="C99" s="1359"/>
      <c r="D99" s="1359"/>
      <c r="E99" s="2275"/>
      <c r="F99" s="2275"/>
      <c r="G99" s="2274">
        <v>1</v>
      </c>
      <c r="H99" s="1359"/>
      <c r="I99" s="1359"/>
      <c r="J99" s="1359"/>
      <c r="K99" s="1359"/>
      <c r="L99" s="1561"/>
      <c r="M99" s="1331"/>
      <c r="N99" s="1331"/>
      <c r="O99" s="1658"/>
      <c r="P99" s="1332"/>
      <c r="Q99" s="1360"/>
      <c r="R99" s="1332"/>
      <c r="S99" s="1338"/>
      <c r="T99" s="1341" t="s">
        <v>268</v>
      </c>
      <c r="U99" s="1340"/>
      <c r="V99" s="1340"/>
      <c r="W99" s="1340"/>
      <c r="X99" s="1340"/>
      <c r="Y99" s="1340"/>
      <c r="Z99" s="1340"/>
      <c r="AA99" s="1340"/>
      <c r="AB99" s="1340"/>
      <c r="AC99" s="1340"/>
      <c r="AD99" s="1340"/>
      <c r="AE99" s="1340"/>
      <c r="AF99" s="1340"/>
      <c r="AG99" s="1340"/>
      <c r="AH99" s="1340"/>
      <c r="AI99" s="1340"/>
      <c r="AJ99" s="1340"/>
      <c r="AK99" s="1340"/>
      <c r="AL99" s="1340"/>
      <c r="AM99" s="1340"/>
      <c r="AN99" s="1340"/>
      <c r="AO99" s="1340"/>
      <c r="AP99" s="1340"/>
      <c r="AQ99" s="1340"/>
      <c r="AR99" s="1340"/>
      <c r="AS99" s="1340"/>
      <c r="AT99" s="1340"/>
      <c r="AU99" s="1340"/>
      <c r="AV99" s="1658"/>
      <c r="AW99" s="1640"/>
      <c r="AX99" s="1640" t="str">
        <f>IF(T99="","",T99)</f>
        <v>Добавить источник для дифференциации</v>
      </c>
      <c r="AY99" s="1640"/>
      <c r="AZ99" s="1640"/>
      <c r="BA99" s="1658">
        <v>0</v>
      </c>
    </row>
    <row s="638" customFormat="1" customHeight="1" ht="0.75">
      <c r="A100" s="1359"/>
      <c r="B100" s="1359"/>
      <c r="C100" s="1359"/>
      <c r="D100" s="1359"/>
      <c r="E100" s="2275"/>
      <c r="F100" s="2274" t="s">
        <v>28</v>
      </c>
      <c r="G100" s="1359"/>
      <c r="H100" s="1359"/>
      <c r="I100" s="1359"/>
      <c r="J100" s="1359"/>
      <c r="K100" s="1359"/>
      <c r="L100" s="1561"/>
      <c r="M100" s="1337"/>
      <c r="N100" s="1337"/>
      <c r="O100" s="1658"/>
      <c r="P100" s="1332"/>
      <c r="Q100" s="1360"/>
      <c r="R100" s="1332"/>
      <c r="S100" s="1338"/>
      <c r="T100" s="1341" t="s">
        <v>269</v>
      </c>
      <c r="U100" s="1340"/>
      <c r="V100" s="1340"/>
      <c r="W100" s="1340"/>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340"/>
      <c r="AS100" s="1340"/>
      <c r="AT100" s="1340"/>
      <c r="AU100" s="1340"/>
      <c r="AV100" s="1658"/>
      <c r="AW100" s="1640"/>
      <c r="AX100" s="1640" t="str">
        <f>IF(T100="","",T100)</f>
        <v>Добавить централизованную систему для дифференциации</v>
      </c>
      <c r="AY100" s="1640"/>
      <c r="AZ100" s="1640"/>
      <c r="BA100" s="1658">
        <v>0</v>
      </c>
    </row>
    <row s="1866" customFormat="1" customHeight="1" ht="21">
      <c r="A101" s="1379"/>
      <c r="B101" s="1379" t="s">
        <v>281</v>
      </c>
      <c r="C101" s="1379"/>
      <c r="D101" s="1379"/>
      <c r="E101" s="2275"/>
      <c r="F101" s="2274" t="s">
        <v>28</v>
      </c>
      <c r="G101" s="1379"/>
      <c r="H101" s="1379"/>
      <c r="I101" s="1379"/>
      <c r="J101" s="1379"/>
      <c r="K101" s="1379"/>
      <c r="L101" s="1385"/>
      <c r="M101" s="1381"/>
      <c r="N101" s="1381"/>
      <c r="O101" s="1381"/>
      <c r="P101" s="2623"/>
      <c r="Q101" s="1427"/>
      <c r="R101" s="369"/>
      <c r="S101" s="2289" t="str">
        <f>INDEX(PT_DIFFERENTIATION_NUM_TER,MATCH(B101,PT_DIFFERENTIATION_TER_ID,0))</f>
        <v>1.4</v>
      </c>
      <c r="T101" s="1538" t="s">
        <v>550</v>
      </c>
      <c r="U101" s="316"/>
      <c r="V101" s="2259"/>
      <c r="W101" s="2259"/>
      <c r="X101" s="2259"/>
      <c r="Y101" s="2259"/>
      <c r="Z101" s="2259"/>
      <c r="AA101" s="2260"/>
      <c r="AB101" s="2258" t="str">
        <f>INDEX(PT_DIFFERENTIATION_TER,MATCH(B101,PT_DIFFERENTIATION_TER_ID,0))</f>
        <v>Территория 4</v>
      </c>
      <c r="AC101" s="2259"/>
      <c r="AD101" s="2259"/>
      <c r="AE101" s="2259"/>
      <c r="AF101" s="2259"/>
      <c r="AG101" s="2259"/>
      <c r="AH101" s="2259"/>
      <c r="AI101" s="2259"/>
      <c r="AJ101" s="2259"/>
      <c r="AK101" s="2259"/>
      <c r="AL101" s="2259"/>
      <c r="AM101" s="2259"/>
      <c r="AN101" s="2259"/>
      <c r="AO101" s="2259"/>
      <c r="AP101" s="2259"/>
      <c r="AQ101" s="2259"/>
      <c r="AR101" s="2259"/>
      <c r="AS101" s="2259"/>
      <c r="AT101" s="2260"/>
      <c r="AU101" s="1274" t="s">
        <v>551</v>
      </c>
      <c r="AV101" s="1658"/>
      <c r="AW101" s="1640"/>
      <c r="AX101" s="1640" t="str">
        <f>IF(T101="","",T101)</f>
        <v>Территория действия тарифа</v>
      </c>
      <c r="AY101" s="1640"/>
      <c r="AZ101" s="1640"/>
      <c r="BA101" s="1651">
        <v>0</v>
      </c>
    </row>
    <row s="1866" customFormat="1" customHeight="1" ht="22.5">
      <c r="A102" s="1379"/>
      <c r="B102" s="1379"/>
      <c r="C102" s="1379" t="s">
        <v>282</v>
      </c>
      <c r="D102" s="1379"/>
      <c r="E102" s="2275"/>
      <c r="F102" s="2275" t="s">
        <v>28</v>
      </c>
      <c r="G102" s="2274">
        <v>1</v>
      </c>
      <c r="H102" s="1379"/>
      <c r="I102" s="1379"/>
      <c r="J102" s="1379"/>
      <c r="K102" s="1379"/>
      <c r="L102" s="1385"/>
      <c r="M102" s="1381"/>
      <c r="N102" s="1381"/>
      <c r="O102" s="1381"/>
      <c r="P102" s="1428"/>
      <c r="Q102" s="1427"/>
      <c r="R102" s="369"/>
      <c r="S102" s="2289" t="str">
        <f>INDEX(PT_DIFFERENTIATION_NUM_CS,MATCH(C102,PT_DIFFERENTIATION_CS_ID,0))</f>
        <v>1.4.1</v>
      </c>
      <c r="T102" s="325" t="s">
        <v>552</v>
      </c>
      <c r="U102" s="316"/>
      <c r="V102" s="2259"/>
      <c r="W102" s="2259"/>
      <c r="X102" s="2259"/>
      <c r="Y102" s="2259"/>
      <c r="Z102" s="2259"/>
      <c r="AA102" s="2260"/>
      <c r="AB102" s="2258" t="str">
        <f>INDEX(PT_DIFFERENTIATION_CS,MATCH(C102,PT_DIFFERENTIATION_CS_ID,0))</f>
        <v>Рощинское сельское поселение с. Рощино</v>
      </c>
      <c r="AC102" s="2259"/>
      <c r="AD102" s="2259"/>
      <c r="AE102" s="2259"/>
      <c r="AF102" s="2259"/>
      <c r="AG102" s="2259"/>
      <c r="AH102" s="2259"/>
      <c r="AI102" s="2259"/>
      <c r="AJ102" s="2259"/>
      <c r="AK102" s="2259"/>
      <c r="AL102" s="2259"/>
      <c r="AM102" s="2259"/>
      <c r="AN102" s="2259"/>
      <c r="AO102" s="2259"/>
      <c r="AP102" s="2259"/>
      <c r="AQ102" s="2259"/>
      <c r="AR102" s="2259"/>
      <c r="AS102" s="2259"/>
      <c r="AT102" s="2260"/>
      <c r="AU102" s="1274" t="s">
        <v>553</v>
      </c>
      <c r="AV102" s="1658"/>
      <c r="AW102" s="1640"/>
      <c r="AX102" s="1640" t="str">
        <f>IF(T102="","",T102)</f>
        <v>Наименование системы теплоснабжения </v>
      </c>
      <c r="AY102" s="1640"/>
      <c r="AZ102" s="1640"/>
      <c r="BA102" s="1651">
        <v>0</v>
      </c>
    </row>
    <row s="1866" customFormat="1" customHeight="1" ht="21">
      <c r="A103" s="1379"/>
      <c r="B103" s="1379"/>
      <c r="C103" s="1379"/>
      <c r="D103" s="1379" t="s">
        <v>283</v>
      </c>
      <c r="E103" s="2275"/>
      <c r="F103" s="2275" t="s">
        <v>28</v>
      </c>
      <c r="G103" s="2275"/>
      <c r="H103" s="2274">
        <v>1</v>
      </c>
      <c r="I103" s="1379"/>
      <c r="J103" s="1379"/>
      <c r="K103" s="1379"/>
      <c r="L103" s="1385"/>
      <c r="M103" s="1381"/>
      <c r="N103" s="1381"/>
      <c r="O103" s="1381"/>
      <c r="P103" s="1428"/>
      <c r="Q103" s="1427"/>
      <c r="R103" s="369"/>
      <c r="S103" s="2289" t="str">
        <f>INDEX(PT_DIFFERENTIATION_NUM_IST_TE,MATCH(D103,PT_DIFFERENTIATION_IST_TE_ID,0))</f>
        <v>1.4.1.1</v>
      </c>
      <c r="T103" s="326" t="s">
        <v>554</v>
      </c>
      <c r="U103" s="316"/>
      <c r="V103" s="2259"/>
      <c r="W103" s="2259"/>
      <c r="X103" s="2259"/>
      <c r="Y103" s="2259"/>
      <c r="Z103" s="2259"/>
      <c r="AA103" s="2260"/>
      <c r="AB103" s="2258" t="str">
        <f>INDEX(PT_DIFFERENTIATION_IST_TE,MATCH(D103,PT_DIFFERENTIATION_IST_TE_ID,0))</f>
        <v>без дифференциации</v>
      </c>
      <c r="AC103" s="2259"/>
      <c r="AD103" s="2259"/>
      <c r="AE103" s="2259"/>
      <c r="AF103" s="2259"/>
      <c r="AG103" s="2259"/>
      <c r="AH103" s="2259"/>
      <c r="AI103" s="2259"/>
      <c r="AJ103" s="2259"/>
      <c r="AK103" s="2259"/>
      <c r="AL103" s="2259"/>
      <c r="AM103" s="2259"/>
      <c r="AN103" s="2259"/>
      <c r="AO103" s="2259"/>
      <c r="AP103" s="2259"/>
      <c r="AQ103" s="2259"/>
      <c r="AR103" s="2259"/>
      <c r="AS103" s="2259"/>
      <c r="AT103" s="2260"/>
      <c r="AU103" s="1274" t="s">
        <v>555</v>
      </c>
      <c r="AV103" s="1658"/>
      <c r="AW103" s="1640"/>
      <c r="AX103" s="1640" t="str">
        <f>IF(T103="","",T103)</f>
        <v>Источник тепловой энергии  </v>
      </c>
      <c r="AY103" s="1640"/>
      <c r="AZ103" s="1640"/>
      <c r="BA103" s="1651">
        <v>0</v>
      </c>
    </row>
    <row s="638" customFormat="1" customHeight="1" ht="0.75">
      <c r="A104" s="1359"/>
      <c r="B104" s="1359"/>
      <c r="C104" s="1359"/>
      <c r="D104" s="1359"/>
      <c r="E104" s="2275"/>
      <c r="F104" s="2275" t="s">
        <v>28</v>
      </c>
      <c r="G104" s="2275"/>
      <c r="H104" s="2275"/>
      <c r="I104" s="2272" t="str">
        <f>S103&amp;".1"</f>
        <v>1.4.1.1.1</v>
      </c>
      <c r="J104" s="1359"/>
      <c r="K104" s="1359"/>
      <c r="L104" s="1561" t="s">
        <v>556</v>
      </c>
      <c r="M104" s="526"/>
      <c r="N104" s="526"/>
      <c r="O104" s="526"/>
      <c r="P104" s="2390">
        <v>1</v>
      </c>
      <c r="Q104" s="2390"/>
      <c r="R104" s="372"/>
      <c r="S104" s="2320"/>
      <c r="T104" s="1399"/>
      <c r="U104" s="1400"/>
      <c r="V104" s="2313"/>
      <c r="W104" s="2313"/>
      <c r="X104" s="2313"/>
      <c r="Y104" s="2313"/>
      <c r="Z104" s="2313"/>
      <c r="AA104" s="2314"/>
      <c r="AB104" s="2312"/>
      <c r="AC104" s="2313"/>
      <c r="AD104" s="2313"/>
      <c r="AE104" s="2313"/>
      <c r="AF104" s="2313"/>
      <c r="AG104" s="2313"/>
      <c r="AH104" s="2313"/>
      <c r="AI104" s="2313"/>
      <c r="AJ104" s="2313"/>
      <c r="AK104" s="2313"/>
      <c r="AL104" s="2313"/>
      <c r="AM104" s="2313"/>
      <c r="AN104" s="2313"/>
      <c r="AO104" s="2313"/>
      <c r="AP104" s="2313"/>
      <c r="AQ104" s="2313"/>
      <c r="AR104" s="2313"/>
      <c r="AS104" s="2313"/>
      <c r="AT104" s="2314"/>
      <c r="AU104" s="1401"/>
      <c r="AV104" s="1658"/>
      <c r="AW104" s="1640"/>
      <c r="AX104" s="1640" t="str">
        <f>IF(T104="","",T104)</f>
        <v/>
      </c>
      <c r="AY104" s="1640"/>
      <c r="AZ104" s="1640"/>
      <c r="BA104" s="1658">
        <v>0</v>
      </c>
    </row>
    <row s="638" customFormat="1" customHeight="1" ht="0.75">
      <c r="A105" s="1359"/>
      <c r="B105" s="1359"/>
      <c r="C105" s="1359"/>
      <c r="D105" s="1359"/>
      <c r="E105" s="2275"/>
      <c r="F105" s="2275" t="s">
        <v>28</v>
      </c>
      <c r="G105" s="2275"/>
      <c r="H105" s="2275"/>
      <c r="I105" s="2302"/>
      <c r="J105" s="2272" t="str">
        <f>S103&amp;".1"</f>
        <v>1.4.1.1.1</v>
      </c>
      <c r="K105" s="1359"/>
      <c r="L105" s="1561"/>
      <c r="M105" s="526"/>
      <c r="N105" s="526"/>
      <c r="O105" s="526"/>
      <c r="P105" s="2390"/>
      <c r="Q105" s="2390">
        <v>1</v>
      </c>
      <c r="R105" s="373"/>
      <c r="S105" s="2320"/>
      <c r="T105" s="1415"/>
      <c r="U105" s="1400"/>
      <c r="V105" s="2313"/>
      <c r="W105" s="2313"/>
      <c r="X105" s="2313"/>
      <c r="Y105" s="2313"/>
      <c r="Z105" s="2313"/>
      <c r="AA105" s="2314"/>
      <c r="AB105" s="2312"/>
      <c r="AC105" s="2313"/>
      <c r="AD105" s="2313"/>
      <c r="AE105" s="2313"/>
      <c r="AF105" s="2313"/>
      <c r="AG105" s="2313"/>
      <c r="AH105" s="2313"/>
      <c r="AI105" s="2313"/>
      <c r="AJ105" s="2313"/>
      <c r="AK105" s="2313"/>
      <c r="AL105" s="2313"/>
      <c r="AM105" s="2313"/>
      <c r="AN105" s="2313"/>
      <c r="AO105" s="2313"/>
      <c r="AP105" s="2313"/>
      <c r="AQ105" s="2313"/>
      <c r="AR105" s="2313"/>
      <c r="AS105" s="2313"/>
      <c r="AT105" s="2314"/>
      <c r="AU105" s="1401"/>
      <c r="AV105" s="1658"/>
      <c r="AW105" s="1640"/>
      <c r="AX105" s="1640" t="str">
        <f>IF(T105="","",T105)</f>
        <v/>
      </c>
      <c r="AY105" s="1640"/>
      <c r="AZ105" s="1640"/>
      <c r="BA105" s="1658">
        <v>0</v>
      </c>
    </row>
    <row s="1866" customFormat="1" customHeight="1" ht="21">
      <c r="A106" s="1379"/>
      <c r="B106" s="1379"/>
      <c r="C106" s="1379"/>
      <c r="D106" s="1379"/>
      <c r="E106" s="2275"/>
      <c r="F106" s="2275" t="s">
        <v>28</v>
      </c>
      <c r="G106" s="2275"/>
      <c r="H106" s="2275"/>
      <c r="I106" s="2302"/>
      <c r="J106" s="2302"/>
      <c r="K106" s="2272" t="str">
        <f>S103&amp;".1"</f>
        <v>1.4.1.1.1</v>
      </c>
      <c r="L106" s="1385"/>
      <c r="M106" s="1792"/>
      <c r="N106" s="1792"/>
      <c r="O106" s="1792"/>
      <c r="P106" s="2390"/>
      <c r="Q106" s="2390"/>
      <c r="R106" s="2363">
        <v>1</v>
      </c>
      <c r="S106" s="2357" t="str">
        <f>$K106</f>
        <v>1.4.1.1.1</v>
      </c>
      <c r="T106" s="2360" t="s">
        <v>630</v>
      </c>
      <c r="U106" s="316"/>
      <c r="V106" s="767"/>
      <c r="W106" s="1273"/>
      <c r="X106" s="2618"/>
      <c r="Y106" s="2123" t="s">
        <v>64</v>
      </c>
      <c r="Z106" s="2618"/>
      <c r="AA106" s="2123" t="s">
        <v>64</v>
      </c>
      <c r="AB106" s="2123" t="s">
        <v>19</v>
      </c>
      <c r="AC106" s="2342"/>
      <c r="AD106" s="2453">
        <v>1</v>
      </c>
      <c r="AE106" s="2364" t="s">
        <v>28</v>
      </c>
      <c r="AF106" s="2123" t="s">
        <v>19</v>
      </c>
      <c r="AG106" s="2342"/>
      <c r="AH106" s="2453">
        <v>1</v>
      </c>
      <c r="AI106" s="2364" t="s">
        <v>28</v>
      </c>
      <c r="AJ106" s="2123" t="s">
        <v>19</v>
      </c>
      <c r="AK106" s="327"/>
      <c r="AL106" s="2453">
        <v>1</v>
      </c>
      <c r="AM106" s="1540" t="s">
        <v>28</v>
      </c>
      <c r="AN106" s="767"/>
      <c r="AO106" s="1273">
        <v>332.122</v>
      </c>
      <c r="AP106" s="2618">
        <v>45783.515914351854</v>
      </c>
      <c r="AQ106" s="2123" t="s">
        <v>64</v>
      </c>
      <c r="AR106" s="2618">
        <v>46022.51598379629</v>
      </c>
      <c r="AS106" s="2123" t="s">
        <v>64</v>
      </c>
      <c r="AT106" s="1364"/>
      <c r="AU106" s="2269" t="s">
        <v>613</v>
      </c>
      <c r="AV106" s="1658">
        <f>STRCHECKDATE(V109:AT109)</f>
      </c>
      <c r="AW106" s="1640"/>
      <c r="AX106" s="1640" t="str">
        <f>IF(T106="","",T106)</f>
        <v>Котельная</v>
      </c>
      <c r="AY106" s="1640"/>
      <c r="AZ106" s="1640"/>
      <c r="BA106" s="1651">
        <v>0</v>
      </c>
    </row>
    <row s="1866" customFormat="1" customHeight="1" ht="11.25">
      <c r="A107" s="1379"/>
      <c r="B107" s="1379"/>
      <c r="C107" s="1379"/>
      <c r="D107" s="1379"/>
      <c r="E107" s="2275"/>
      <c r="F107" s="2275" t="s">
        <v>28</v>
      </c>
      <c r="G107" s="2275"/>
      <c r="H107" s="2275"/>
      <c r="I107" s="2302"/>
      <c r="J107" s="2302"/>
      <c r="K107" s="2272"/>
      <c r="L107" s="1385"/>
      <c r="M107" s="1792"/>
      <c r="N107" s="1792"/>
      <c r="O107" s="1792"/>
      <c r="P107" s="2390"/>
      <c r="Q107" s="2390"/>
      <c r="R107" s="2363"/>
      <c r="S107" s="2358"/>
      <c r="T107" s="2361"/>
      <c r="U107" s="316"/>
      <c r="V107" s="3017"/>
      <c r="W107" s="3018"/>
      <c r="X107" s="2618"/>
      <c r="Y107" s="2123"/>
      <c r="Z107" s="2618"/>
      <c r="AA107" s="2123"/>
      <c r="AB107" s="2123"/>
      <c r="AC107" s="2342"/>
      <c r="AD107" s="2453"/>
      <c r="AE107" s="2364" t="s">
        <v>28</v>
      </c>
      <c r="AF107" s="2123"/>
      <c r="AG107" s="2342"/>
      <c r="AH107" s="2453"/>
      <c r="AI107" s="2364" t="s">
        <v>28</v>
      </c>
      <c r="AJ107" s="2123"/>
      <c r="AK107" s="3019"/>
      <c r="AL107" s="3020"/>
      <c r="AM107" s="3021" t="s">
        <v>614</v>
      </c>
      <c r="AN107" s="3022"/>
      <c r="AO107" s="3023"/>
      <c r="AP107" s="3024"/>
      <c r="AQ107" s="3025"/>
      <c r="AR107" s="3026"/>
      <c r="AS107" s="3027"/>
      <c r="AT107" s="1406"/>
      <c r="AU107" s="2270"/>
      <c r="AV107" s="1658"/>
      <c r="AW107" s="1640"/>
      <c r="AX107" s="1640"/>
      <c r="AY107" s="1640"/>
      <c r="AZ107" s="1640"/>
      <c r="BA107" s="1651">
        <v>0</v>
      </c>
    </row>
    <row s="1866" customFormat="1" customHeight="1" ht="11.25">
      <c r="A108" s="1379"/>
      <c r="B108" s="1379"/>
      <c r="C108" s="1379"/>
      <c r="D108" s="1379"/>
      <c r="E108" s="2275"/>
      <c r="F108" s="2275" t="s">
        <v>28</v>
      </c>
      <c r="G108" s="2275"/>
      <c r="H108" s="2275"/>
      <c r="I108" s="2302"/>
      <c r="J108" s="2302"/>
      <c r="K108" s="2272"/>
      <c r="L108" s="1385"/>
      <c r="M108" s="1792"/>
      <c r="N108" s="1792"/>
      <c r="O108" s="1792"/>
      <c r="P108" s="2390"/>
      <c r="Q108" s="2390"/>
      <c r="R108" s="2363"/>
      <c r="S108" s="2358"/>
      <c r="T108" s="2361"/>
      <c r="U108" s="316"/>
      <c r="V108" s="3028"/>
      <c r="W108" s="3029"/>
      <c r="X108" s="2618"/>
      <c r="Y108" s="2123"/>
      <c r="Z108" s="2618"/>
      <c r="AA108" s="2123"/>
      <c r="AB108" s="2123"/>
      <c r="AC108" s="2342"/>
      <c r="AD108" s="2453"/>
      <c r="AE108" s="2364" t="s">
        <v>28</v>
      </c>
      <c r="AF108" s="2123"/>
      <c r="AG108" s="3030"/>
      <c r="AH108" s="3031"/>
      <c r="AI108" s="3032" t="s">
        <v>615</v>
      </c>
      <c r="AJ108" s="3033"/>
      <c r="AK108" s="3034"/>
      <c r="AL108" s="3035"/>
      <c r="AM108" s="3036"/>
      <c r="AN108" s="3037"/>
      <c r="AO108" s="3038"/>
      <c r="AP108" s="3039"/>
      <c r="AQ108" s="3040"/>
      <c r="AR108" s="3041"/>
      <c r="AS108" s="3042"/>
      <c r="AT108" s="1406"/>
      <c r="AU108" s="2270"/>
      <c r="AV108" s="1658"/>
      <c r="AW108" s="1640"/>
      <c r="AX108" s="1640"/>
      <c r="AY108" s="1640"/>
      <c r="AZ108" s="1640"/>
      <c r="BA108" s="1651">
        <v>0</v>
      </c>
    </row>
    <row s="1866" customFormat="1" customHeight="1" ht="11.25">
      <c r="A109" s="1379"/>
      <c r="B109" s="1379"/>
      <c r="C109" s="1379"/>
      <c r="D109" s="1379"/>
      <c r="E109" s="2275"/>
      <c r="F109" s="2275" t="s">
        <v>28</v>
      </c>
      <c r="G109" s="2275"/>
      <c r="H109" s="2275"/>
      <c r="I109" s="2302"/>
      <c r="J109" s="2302"/>
      <c r="K109" s="2272"/>
      <c r="L109" s="1385"/>
      <c r="M109" s="1792"/>
      <c r="N109" s="1792"/>
      <c r="O109" s="1792"/>
      <c r="P109" s="2390"/>
      <c r="Q109" s="2390"/>
      <c r="R109" s="2363"/>
      <c r="S109" s="2359"/>
      <c r="T109" s="2362"/>
      <c r="U109" s="316"/>
      <c r="V109" s="3043"/>
      <c r="W109" s="3044" t="str">
        <f>X106&amp;"-"&amp;Z106</f>
        <v>-</v>
      </c>
      <c r="X109" s="2325"/>
      <c r="Y109" s="2123"/>
      <c r="Z109" s="2325"/>
      <c r="AA109" s="2123"/>
      <c r="AB109" s="2123"/>
      <c r="AC109" s="3045"/>
      <c r="AD109" s="3046"/>
      <c r="AE109" s="3047" t="s">
        <v>616</v>
      </c>
      <c r="AF109" s="3048"/>
      <c r="AG109" s="3049"/>
      <c r="AH109" s="3050"/>
      <c r="AI109" s="3051"/>
      <c r="AJ109" s="3052"/>
      <c r="AK109" s="3053"/>
      <c r="AL109" s="3054"/>
      <c r="AM109" s="3055"/>
      <c r="AN109" s="3056"/>
      <c r="AO109" s="3057" t="str">
        <f>AP106&amp;"-"&amp;AR106</f>
        <v>45783.515914351854-46022.51598379629</v>
      </c>
      <c r="AP109" s="3058"/>
      <c r="AQ109" s="3059"/>
      <c r="AR109" s="3060"/>
      <c r="AS109" s="3061"/>
      <c r="AT109" s="1365"/>
      <c r="AU109" s="2270"/>
      <c r="AV109" s="1658"/>
      <c r="AW109" s="1640"/>
      <c r="AX109" s="1640" t="str">
        <f>IF(T109="","",T109)</f>
        <v/>
      </c>
      <c r="AY109" s="1640"/>
      <c r="AZ109" s="1640"/>
      <c r="BA109" s="1651">
        <v>0</v>
      </c>
    </row>
    <row s="1866" customFormat="1" customHeight="1" ht="11.25">
      <c r="A110" s="1379"/>
      <c r="B110" s="1379"/>
      <c r="C110" s="1379"/>
      <c r="D110" s="1379"/>
      <c r="E110" s="2275"/>
      <c r="F110" s="2275" t="s">
        <v>28</v>
      </c>
      <c r="G110" s="2275"/>
      <c r="H110" s="2275"/>
      <c r="I110" s="2302"/>
      <c r="J110" s="2272"/>
      <c r="K110" s="1379"/>
      <c r="L110" s="1385"/>
      <c r="M110" s="1792"/>
      <c r="N110" s="1792"/>
      <c r="O110" s="1792"/>
      <c r="P110" s="2390"/>
      <c r="Q110" s="2390"/>
      <c r="R110" s="372"/>
      <c r="S110" s="3062"/>
      <c r="T110" s="3063" t="s">
        <v>617</v>
      </c>
      <c r="U110" s="3064"/>
      <c r="V110" s="3065"/>
      <c r="W110" s="3066"/>
      <c r="X110" s="3067"/>
      <c r="Y110" s="3068"/>
      <c r="Z110" s="3069"/>
      <c r="AA110" s="3070"/>
      <c r="AB110" s="3071"/>
      <c r="AC110" s="3072"/>
      <c r="AD110" s="3073"/>
      <c r="AE110" s="3074"/>
      <c r="AF110" s="3075"/>
      <c r="AG110" s="3076"/>
      <c r="AH110" s="3077"/>
      <c r="AI110" s="3078"/>
      <c r="AJ110" s="3079"/>
      <c r="AK110" s="3080"/>
      <c r="AL110" s="3081"/>
      <c r="AM110" s="3082"/>
      <c r="AN110" s="3083"/>
      <c r="AO110" s="3084"/>
      <c r="AP110" s="3085"/>
      <c r="AQ110" s="3086"/>
      <c r="AR110" s="3087"/>
      <c r="AS110" s="3088"/>
      <c r="AT110" s="3089"/>
      <c r="AU110" s="2271"/>
      <c r="AV110" s="1658"/>
      <c r="AW110" s="1640"/>
      <c r="AX110" s="1640" t="str">
        <f>IF(T110="","",T110)</f>
        <v>Добавить строку</v>
      </c>
      <c r="AY110" s="1640"/>
      <c r="AZ110" s="1640"/>
      <c r="BA110" s="1651">
        <v>0</v>
      </c>
    </row>
    <row s="638" customFormat="1" customHeight="1" ht="0.75">
      <c r="A111" s="1359"/>
      <c r="B111" s="1359"/>
      <c r="C111" s="1359"/>
      <c r="D111" s="1359"/>
      <c r="E111" s="2275"/>
      <c r="F111" s="2275" t="s">
        <v>28</v>
      </c>
      <c r="G111" s="2275"/>
      <c r="H111" s="2275"/>
      <c r="I111" s="2272"/>
      <c r="J111" s="1359"/>
      <c r="K111" s="1359"/>
      <c r="L111" s="1561"/>
      <c r="M111" s="526"/>
      <c r="N111" s="526"/>
      <c r="O111" s="526"/>
      <c r="P111" s="2390"/>
      <c r="Q111" s="2390"/>
      <c r="R111" s="372"/>
      <c r="S111" s="1402"/>
      <c r="T111" s="1403"/>
      <c r="U111" s="1404"/>
      <c r="V111" s="1404"/>
      <c r="W111" s="1404"/>
      <c r="X111" s="1404"/>
      <c r="Y111" s="1404"/>
      <c r="Z111" s="1404"/>
      <c r="AA111" s="1404"/>
      <c r="AB111" s="1404"/>
      <c r="AC111" s="1404"/>
      <c r="AD111" s="1404"/>
      <c r="AE111" s="1404"/>
      <c r="AF111" s="1404"/>
      <c r="AG111" s="1404"/>
      <c r="AH111" s="1404"/>
      <c r="AI111" s="1404"/>
      <c r="AJ111" s="1404"/>
      <c r="AK111" s="1404"/>
      <c r="AL111" s="1404"/>
      <c r="AM111" s="1404"/>
      <c r="AN111" s="1404"/>
      <c r="AO111" s="1404"/>
      <c r="AP111" s="1404"/>
      <c r="AQ111" s="1404"/>
      <c r="AR111" s="1404"/>
      <c r="AS111" s="1404"/>
      <c r="AT111" s="1404"/>
      <c r="AU111" s="1405"/>
      <c r="AV111" s="1658"/>
      <c r="AW111" s="1640"/>
      <c r="AX111" s="1640" t="str">
        <f>IF(T111="","",T111)</f>
        <v/>
      </c>
      <c r="AY111" s="1640"/>
      <c r="AZ111" s="1640"/>
      <c r="BA111" s="1658">
        <v>0</v>
      </c>
    </row>
    <row s="638" customFormat="1" customHeight="1" ht="0.75">
      <c r="A112" s="1359"/>
      <c r="B112" s="1359"/>
      <c r="C112" s="1359"/>
      <c r="D112" s="1359"/>
      <c r="E112" s="2275"/>
      <c r="F112" s="2275" t="s">
        <v>28</v>
      </c>
      <c r="G112" s="2275"/>
      <c r="H112" s="2274"/>
      <c r="I112" s="1359"/>
      <c r="J112" s="1359"/>
      <c r="K112" s="1359"/>
      <c r="L112" s="1561"/>
      <c r="M112" s="1331"/>
      <c r="N112" s="1331"/>
      <c r="O112" s="1658"/>
      <c r="P112" s="1332"/>
      <c r="Q112" s="1360"/>
      <c r="R112" s="1417"/>
      <c r="S112" s="1402"/>
      <c r="T112" s="1403"/>
      <c r="U112" s="1404"/>
      <c r="V112" s="1404"/>
      <c r="W112" s="1404"/>
      <c r="X112" s="1404"/>
      <c r="Y112" s="1404"/>
      <c r="Z112" s="1404"/>
      <c r="AA112" s="1404"/>
      <c r="AB112" s="1404"/>
      <c r="AC112" s="1404"/>
      <c r="AD112" s="1404"/>
      <c r="AE112" s="1404"/>
      <c r="AF112" s="1404"/>
      <c r="AG112" s="1404"/>
      <c r="AH112" s="1404"/>
      <c r="AI112" s="1404"/>
      <c r="AJ112" s="1404"/>
      <c r="AK112" s="1404"/>
      <c r="AL112" s="1404"/>
      <c r="AM112" s="1404"/>
      <c r="AN112" s="1404"/>
      <c r="AO112" s="1404"/>
      <c r="AP112" s="1404"/>
      <c r="AQ112" s="1404"/>
      <c r="AR112" s="1404"/>
      <c r="AS112" s="1404"/>
      <c r="AT112" s="1404"/>
      <c r="AU112" s="1405"/>
      <c r="AV112" s="1658"/>
      <c r="AW112" s="1640"/>
      <c r="AX112" s="1640" t="str">
        <f>IF(T112="","",T112)</f>
        <v/>
      </c>
      <c r="AY112" s="1640"/>
      <c r="AZ112" s="1640"/>
      <c r="BA112" s="1658">
        <v>0</v>
      </c>
    </row>
    <row s="638" customFormat="1" customHeight="1" ht="0.75">
      <c r="A113" s="1359"/>
      <c r="B113" s="1359"/>
      <c r="C113" s="1359"/>
      <c r="D113" s="1359"/>
      <c r="E113" s="2275"/>
      <c r="F113" s="2275" t="s">
        <v>28</v>
      </c>
      <c r="G113" s="2274"/>
      <c r="H113" s="1359"/>
      <c r="I113" s="1359"/>
      <c r="J113" s="1359"/>
      <c r="K113" s="1359"/>
      <c r="L113" s="1561"/>
      <c r="M113" s="1331"/>
      <c r="N113" s="1331"/>
      <c r="O113" s="1658"/>
      <c r="P113" s="1332"/>
      <c r="Q113" s="1360"/>
      <c r="R113" s="1332"/>
      <c r="S113" s="1338"/>
      <c r="T113" s="1341" t="s">
        <v>268</v>
      </c>
      <c r="U113" s="1340"/>
      <c r="V113" s="1340"/>
      <c r="W113" s="1340"/>
      <c r="X113" s="1340"/>
      <c r="Y113" s="1340"/>
      <c r="Z113" s="1340"/>
      <c r="AA113" s="1340"/>
      <c r="AB113" s="1340"/>
      <c r="AC113" s="1340"/>
      <c r="AD113" s="1340"/>
      <c r="AE113" s="1340"/>
      <c r="AF113" s="1340"/>
      <c r="AG113" s="1340"/>
      <c r="AH113" s="1340"/>
      <c r="AI113" s="1340"/>
      <c r="AJ113" s="1340"/>
      <c r="AK113" s="1340"/>
      <c r="AL113" s="1340"/>
      <c r="AM113" s="1340"/>
      <c r="AN113" s="1340"/>
      <c r="AO113" s="1340"/>
      <c r="AP113" s="1340"/>
      <c r="AQ113" s="1340"/>
      <c r="AR113" s="1340"/>
      <c r="AS113" s="1340"/>
      <c r="AT113" s="1340"/>
      <c r="AU113" s="1340"/>
      <c r="AV113" s="1658"/>
      <c r="AW113" s="1640"/>
      <c r="AX113" s="1640" t="str">
        <f>IF(T113="","",T113)</f>
        <v>Добавить источник для дифференциации</v>
      </c>
      <c r="AY113" s="1640"/>
      <c r="AZ113" s="1640"/>
      <c r="BA113" s="1658">
        <v>0</v>
      </c>
    </row>
    <row s="638" customFormat="1" customHeight="1" ht="0.75">
      <c r="A114" s="1359"/>
      <c r="B114" s="1359"/>
      <c r="C114" s="1359"/>
      <c r="D114" s="1359"/>
      <c r="E114" s="2275"/>
      <c r="F114" s="2274" t="s">
        <v>28</v>
      </c>
      <c r="G114" s="1359"/>
      <c r="H114" s="1359"/>
      <c r="I114" s="1359"/>
      <c r="J114" s="1359"/>
      <c r="K114" s="1359"/>
      <c r="L114" s="1561"/>
      <c r="M114" s="1337"/>
      <c r="N114" s="1337"/>
      <c r="O114" s="1658"/>
      <c r="P114" s="1332"/>
      <c r="Q114" s="1360"/>
      <c r="R114" s="1332"/>
      <c r="S114" s="1338"/>
      <c r="T114" s="1341" t="s">
        <v>269</v>
      </c>
      <c r="U114" s="1340"/>
      <c r="V114" s="1340"/>
      <c r="W114" s="1340"/>
      <c r="X114" s="1340"/>
      <c r="Y114" s="1340"/>
      <c r="Z114" s="1340"/>
      <c r="AA114" s="1340"/>
      <c r="AB114" s="1340"/>
      <c r="AC114" s="1340"/>
      <c r="AD114" s="1340"/>
      <c r="AE114" s="1340"/>
      <c r="AF114" s="1340"/>
      <c r="AG114" s="1340"/>
      <c r="AH114" s="1340"/>
      <c r="AI114" s="1340"/>
      <c r="AJ114" s="1340"/>
      <c r="AK114" s="1340"/>
      <c r="AL114" s="1340"/>
      <c r="AM114" s="1340"/>
      <c r="AN114" s="1340"/>
      <c r="AO114" s="1340"/>
      <c r="AP114" s="1340"/>
      <c r="AQ114" s="1340"/>
      <c r="AR114" s="1340"/>
      <c r="AS114" s="1340"/>
      <c r="AT114" s="1340"/>
      <c r="AU114" s="1340"/>
      <c r="AV114" s="1658"/>
      <c r="AW114" s="1640"/>
      <c r="AX114" s="1640" t="str">
        <f>IF(T114="","",T114)</f>
        <v>Добавить централизованную систему для дифференциации</v>
      </c>
      <c r="AY114" s="1640"/>
      <c r="AZ114" s="1640"/>
      <c r="BA114" s="1658">
        <v>0</v>
      </c>
    </row>
    <row s="1866" customFormat="1" customHeight="1" ht="21">
      <c r="A115" s="1379"/>
      <c r="B115" s="1379" t="s">
        <v>284</v>
      </c>
      <c r="C115" s="1379"/>
      <c r="D115" s="1379"/>
      <c r="E115" s="2275"/>
      <c r="F115" s="2274" t="s">
        <v>28</v>
      </c>
      <c r="G115" s="1379"/>
      <c r="H115" s="1379"/>
      <c r="I115" s="1379"/>
      <c r="J115" s="1379"/>
      <c r="K115" s="1379"/>
      <c r="L115" s="1385"/>
      <c r="M115" s="1381"/>
      <c r="N115" s="1381"/>
      <c r="O115" s="1381"/>
      <c r="P115" s="2623"/>
      <c r="Q115" s="1427"/>
      <c r="R115" s="369"/>
      <c r="S115" s="2289" t="str">
        <f>INDEX(PT_DIFFERENTIATION_NUM_TER,MATCH(B115,PT_DIFFERENTIATION_TER_ID,0))</f>
        <v>1.5</v>
      </c>
      <c r="T115" s="1538" t="s">
        <v>550</v>
      </c>
      <c r="U115" s="316"/>
      <c r="V115" s="2259"/>
      <c r="W115" s="2259"/>
      <c r="X115" s="2259"/>
      <c r="Y115" s="2259"/>
      <c r="Z115" s="2259"/>
      <c r="AA115" s="2260"/>
      <c r="AB115" s="2258" t="str">
        <f>INDEX(PT_DIFFERENTIATION_TER,MATCH(B115,PT_DIFFERENTIATION_TER_ID,0))</f>
        <v>Территория 5</v>
      </c>
      <c r="AC115" s="2259"/>
      <c r="AD115" s="2259"/>
      <c r="AE115" s="2259"/>
      <c r="AF115" s="2259"/>
      <c r="AG115" s="2259"/>
      <c r="AH115" s="2259"/>
      <c r="AI115" s="2259"/>
      <c r="AJ115" s="2259"/>
      <c r="AK115" s="2259"/>
      <c r="AL115" s="2259"/>
      <c r="AM115" s="2259"/>
      <c r="AN115" s="2259"/>
      <c r="AO115" s="2259"/>
      <c r="AP115" s="2259"/>
      <c r="AQ115" s="2259"/>
      <c r="AR115" s="2259"/>
      <c r="AS115" s="2259"/>
      <c r="AT115" s="2260"/>
      <c r="AU115" s="1274" t="s">
        <v>551</v>
      </c>
      <c r="AV115" s="1658"/>
      <c r="AW115" s="1640"/>
      <c r="AX115" s="1640" t="str">
        <f>IF(T115="","",T115)</f>
        <v>Территория действия тарифа</v>
      </c>
      <c r="AY115" s="1640"/>
      <c r="AZ115" s="1640"/>
      <c r="BA115" s="1651">
        <v>0</v>
      </c>
    </row>
    <row s="1866" customFormat="1" customHeight="1" ht="22.5">
      <c r="A116" s="1379"/>
      <c r="B116" s="1379"/>
      <c r="C116" s="1379" t="s">
        <v>285</v>
      </c>
      <c r="D116" s="1379"/>
      <c r="E116" s="2275"/>
      <c r="F116" s="2275" t="s">
        <v>28</v>
      </c>
      <c r="G116" s="2274">
        <v>1</v>
      </c>
      <c r="H116" s="1379"/>
      <c r="I116" s="1379"/>
      <c r="J116" s="1379"/>
      <c r="K116" s="1379"/>
      <c r="L116" s="1385"/>
      <c r="M116" s="1381"/>
      <c r="N116" s="1381"/>
      <c r="O116" s="1381"/>
      <c r="P116" s="1428"/>
      <c r="Q116" s="1427"/>
      <c r="R116" s="369"/>
      <c r="S116" s="2289" t="str">
        <f>INDEX(PT_DIFFERENTIATION_NUM_CS,MATCH(C116,PT_DIFFERENTIATION_CS_ID,0))</f>
        <v>1.5.1</v>
      </c>
      <c r="T116" s="325" t="s">
        <v>552</v>
      </c>
      <c r="U116" s="316"/>
      <c r="V116" s="2259"/>
      <c r="W116" s="2259"/>
      <c r="X116" s="2259"/>
      <c r="Y116" s="2259"/>
      <c r="Z116" s="2259"/>
      <c r="AA116" s="2260"/>
      <c r="AB116" s="2258" t="str">
        <f>INDEX(PT_DIFFERENTIATION_CS,MATCH(C116,PT_DIFFERENTIATION_CS_ID,0))</f>
        <v>Находкинский городской округ</v>
      </c>
      <c r="AC116" s="2259"/>
      <c r="AD116" s="2259"/>
      <c r="AE116" s="2259"/>
      <c r="AF116" s="2259"/>
      <c r="AG116" s="2259"/>
      <c r="AH116" s="2259"/>
      <c r="AI116" s="2259"/>
      <c r="AJ116" s="2259"/>
      <c r="AK116" s="2259"/>
      <c r="AL116" s="2259"/>
      <c r="AM116" s="2259"/>
      <c r="AN116" s="2259"/>
      <c r="AO116" s="2259"/>
      <c r="AP116" s="2259"/>
      <c r="AQ116" s="2259"/>
      <c r="AR116" s="2259"/>
      <c r="AS116" s="2259"/>
      <c r="AT116" s="2260"/>
      <c r="AU116" s="1274" t="s">
        <v>553</v>
      </c>
      <c r="AV116" s="1658"/>
      <c r="AW116" s="1640"/>
      <c r="AX116" s="1640" t="str">
        <f>IF(T116="","",T116)</f>
        <v>Наименование системы теплоснабжения </v>
      </c>
      <c r="AY116" s="1640"/>
      <c r="AZ116" s="1640"/>
      <c r="BA116" s="1651">
        <v>0</v>
      </c>
    </row>
    <row s="1866" customFormat="1" customHeight="1" ht="21">
      <c r="A117" s="1379"/>
      <c r="B117" s="1379"/>
      <c r="C117" s="1379"/>
      <c r="D117" s="1379" t="s">
        <v>286</v>
      </c>
      <c r="E117" s="2275"/>
      <c r="F117" s="2275" t="s">
        <v>28</v>
      </c>
      <c r="G117" s="2275"/>
      <c r="H117" s="2274">
        <v>1</v>
      </c>
      <c r="I117" s="1379"/>
      <c r="J117" s="1379"/>
      <c r="K117" s="1379"/>
      <c r="L117" s="1385"/>
      <c r="M117" s="1381"/>
      <c r="N117" s="1381"/>
      <c r="O117" s="1381"/>
      <c r="P117" s="1428"/>
      <c r="Q117" s="1427"/>
      <c r="R117" s="369"/>
      <c r="S117" s="2289" t="str">
        <f>INDEX(PT_DIFFERENTIATION_NUM_IST_TE,MATCH(D117,PT_DIFFERENTIATION_IST_TE_ID,0))</f>
        <v>1.5.1.1</v>
      </c>
      <c r="T117" s="326" t="s">
        <v>554</v>
      </c>
      <c r="U117" s="316"/>
      <c r="V117" s="2259"/>
      <c r="W117" s="2259"/>
      <c r="X117" s="2259"/>
      <c r="Y117" s="2259"/>
      <c r="Z117" s="2259"/>
      <c r="AA117" s="2260"/>
      <c r="AB117" s="2258" t="str">
        <f>INDEX(PT_DIFFERENTIATION_IST_TE,MATCH(D117,PT_DIFFERENTIATION_IST_TE_ID,0))</f>
        <v>без дифференциации</v>
      </c>
      <c r="AC117" s="2259"/>
      <c r="AD117" s="2259"/>
      <c r="AE117" s="2259"/>
      <c r="AF117" s="2259"/>
      <c r="AG117" s="2259"/>
      <c r="AH117" s="2259"/>
      <c r="AI117" s="2259"/>
      <c r="AJ117" s="2259"/>
      <c r="AK117" s="2259"/>
      <c r="AL117" s="2259"/>
      <c r="AM117" s="2259"/>
      <c r="AN117" s="2259"/>
      <c r="AO117" s="2259"/>
      <c r="AP117" s="2259"/>
      <c r="AQ117" s="2259"/>
      <c r="AR117" s="2259"/>
      <c r="AS117" s="2259"/>
      <c r="AT117" s="2260"/>
      <c r="AU117" s="1274" t="s">
        <v>555</v>
      </c>
      <c r="AV117" s="1658"/>
      <c r="AW117" s="1640"/>
      <c r="AX117" s="1640" t="str">
        <f>IF(T117="","",T117)</f>
        <v>Источник тепловой энергии  </v>
      </c>
      <c r="AY117" s="1640"/>
      <c r="AZ117" s="1640"/>
      <c r="BA117" s="1651">
        <v>0</v>
      </c>
    </row>
    <row s="638" customFormat="1" customHeight="1" ht="0.75">
      <c r="A118" s="1359"/>
      <c r="B118" s="1359"/>
      <c r="C118" s="1359"/>
      <c r="D118" s="1359"/>
      <c r="E118" s="2275"/>
      <c r="F118" s="2275" t="s">
        <v>28</v>
      </c>
      <c r="G118" s="2275"/>
      <c r="H118" s="2275"/>
      <c r="I118" s="2272" t="str">
        <f>S117&amp;".1"</f>
        <v>1.5.1.1.1</v>
      </c>
      <c r="J118" s="1359"/>
      <c r="K118" s="1359"/>
      <c r="L118" s="1561" t="s">
        <v>556</v>
      </c>
      <c r="M118" s="526"/>
      <c r="N118" s="526"/>
      <c r="O118" s="526"/>
      <c r="P118" s="2390">
        <v>1</v>
      </c>
      <c r="Q118" s="2390"/>
      <c r="R118" s="372"/>
      <c r="S118" s="2320"/>
      <c r="T118" s="1399"/>
      <c r="U118" s="1400"/>
      <c r="V118" s="2313"/>
      <c r="W118" s="2313"/>
      <c r="X118" s="2313"/>
      <c r="Y118" s="2313"/>
      <c r="Z118" s="2313"/>
      <c r="AA118" s="2314"/>
      <c r="AB118" s="2312"/>
      <c r="AC118" s="2313"/>
      <c r="AD118" s="2313"/>
      <c r="AE118" s="2313"/>
      <c r="AF118" s="2313"/>
      <c r="AG118" s="2313"/>
      <c r="AH118" s="2313"/>
      <c r="AI118" s="2313"/>
      <c r="AJ118" s="2313"/>
      <c r="AK118" s="2313"/>
      <c r="AL118" s="2313"/>
      <c r="AM118" s="2313"/>
      <c r="AN118" s="2313"/>
      <c r="AO118" s="2313"/>
      <c r="AP118" s="2313"/>
      <c r="AQ118" s="2313"/>
      <c r="AR118" s="2313"/>
      <c r="AS118" s="2313"/>
      <c r="AT118" s="2314"/>
      <c r="AU118" s="1401"/>
      <c r="AV118" s="1658"/>
      <c r="AW118" s="1640"/>
      <c r="AX118" s="1640" t="str">
        <f>IF(T118="","",T118)</f>
        <v/>
      </c>
      <c r="AY118" s="1640"/>
      <c r="AZ118" s="1640"/>
      <c r="BA118" s="1658">
        <v>0</v>
      </c>
    </row>
    <row s="638" customFormat="1" customHeight="1" ht="0.75">
      <c r="A119" s="1359"/>
      <c r="B119" s="1359"/>
      <c r="C119" s="1359"/>
      <c r="D119" s="1359"/>
      <c r="E119" s="2275"/>
      <c r="F119" s="2275" t="s">
        <v>28</v>
      </c>
      <c r="G119" s="2275"/>
      <c r="H119" s="2275"/>
      <c r="I119" s="2302"/>
      <c r="J119" s="2272" t="str">
        <f>S117&amp;".1"</f>
        <v>1.5.1.1.1</v>
      </c>
      <c r="K119" s="1359"/>
      <c r="L119" s="1561"/>
      <c r="M119" s="526"/>
      <c r="N119" s="526"/>
      <c r="O119" s="526"/>
      <c r="P119" s="2390"/>
      <c r="Q119" s="2390">
        <v>1</v>
      </c>
      <c r="R119" s="373"/>
      <c r="S119" s="2320"/>
      <c r="T119" s="1415"/>
      <c r="U119" s="1400"/>
      <c r="V119" s="2313"/>
      <c r="W119" s="2313"/>
      <c r="X119" s="2313"/>
      <c r="Y119" s="2313"/>
      <c r="Z119" s="2313"/>
      <c r="AA119" s="2314"/>
      <c r="AB119" s="2312"/>
      <c r="AC119" s="2313"/>
      <c r="AD119" s="2313"/>
      <c r="AE119" s="2313"/>
      <c r="AF119" s="2313"/>
      <c r="AG119" s="2313"/>
      <c r="AH119" s="2313"/>
      <c r="AI119" s="2313"/>
      <c r="AJ119" s="2313"/>
      <c r="AK119" s="2313"/>
      <c r="AL119" s="2313"/>
      <c r="AM119" s="2313"/>
      <c r="AN119" s="2313"/>
      <c r="AO119" s="2313"/>
      <c r="AP119" s="2313"/>
      <c r="AQ119" s="2313"/>
      <c r="AR119" s="2313"/>
      <c r="AS119" s="2313"/>
      <c r="AT119" s="2314"/>
      <c r="AU119" s="1401"/>
      <c r="AV119" s="1658"/>
      <c r="AW119" s="1640"/>
      <c r="AX119" s="1640" t="str">
        <f>IF(T119="","",T119)</f>
        <v/>
      </c>
      <c r="AY119" s="1640"/>
      <c r="AZ119" s="1640"/>
      <c r="BA119" s="1658">
        <v>0</v>
      </c>
    </row>
    <row s="1866" customFormat="1" customHeight="1" ht="21">
      <c r="A120" s="1379"/>
      <c r="B120" s="1379"/>
      <c r="C120" s="1379"/>
      <c r="D120" s="1379"/>
      <c r="E120" s="2275"/>
      <c r="F120" s="2275" t="s">
        <v>28</v>
      </c>
      <c r="G120" s="2275"/>
      <c r="H120" s="2275"/>
      <c r="I120" s="2302"/>
      <c r="J120" s="2302"/>
      <c r="K120" s="2272" t="str">
        <f>S117&amp;".1"</f>
        <v>1.5.1.1.1</v>
      </c>
      <c r="L120" s="1385"/>
      <c r="M120" s="1792"/>
      <c r="N120" s="1792"/>
      <c r="O120" s="1792"/>
      <c r="P120" s="2390"/>
      <c r="Q120" s="2390"/>
      <c r="R120" s="2363">
        <v>1</v>
      </c>
      <c r="S120" s="2357" t="str">
        <f>$K120</f>
        <v>1.5.1.1.1</v>
      </c>
      <c r="T120" s="2360" t="s">
        <v>630</v>
      </c>
      <c r="U120" s="316"/>
      <c r="V120" s="767"/>
      <c r="W120" s="1273"/>
      <c r="X120" s="2618"/>
      <c r="Y120" s="2123" t="s">
        <v>64</v>
      </c>
      <c r="Z120" s="2618"/>
      <c r="AA120" s="2123" t="s">
        <v>64</v>
      </c>
      <c r="AB120" s="2123" t="s">
        <v>19</v>
      </c>
      <c r="AC120" s="2342"/>
      <c r="AD120" s="2453">
        <v>1</v>
      </c>
      <c r="AE120" s="2364" t="s">
        <v>28</v>
      </c>
      <c r="AF120" s="2123" t="s">
        <v>19</v>
      </c>
      <c r="AG120" s="2342"/>
      <c r="AH120" s="2453">
        <v>1</v>
      </c>
      <c r="AI120" s="2364" t="s">
        <v>28</v>
      </c>
      <c r="AJ120" s="2123" t="s">
        <v>19</v>
      </c>
      <c r="AK120" s="327"/>
      <c r="AL120" s="2453">
        <v>1</v>
      </c>
      <c r="AM120" s="1540" t="s">
        <v>28</v>
      </c>
      <c r="AN120" s="767"/>
      <c r="AO120" s="1273">
        <v>17.584</v>
      </c>
      <c r="AP120" s="2618">
        <v>45791.63103009259</v>
      </c>
      <c r="AQ120" s="2123" t="s">
        <v>64</v>
      </c>
      <c r="AR120" s="2618">
        <v>46022.51598379629</v>
      </c>
      <c r="AS120" s="2123" t="s">
        <v>64</v>
      </c>
      <c r="AT120" s="1364"/>
      <c r="AU120" s="2269" t="s">
        <v>613</v>
      </c>
      <c r="AV120" s="1658">
        <f>STRCHECKDATE(V123:AT123)</f>
      </c>
      <c r="AW120" s="1640"/>
      <c r="AX120" s="1640" t="str">
        <f>IF(T120="","",T120)</f>
        <v>Котельная</v>
      </c>
      <c r="AY120" s="1640"/>
      <c r="AZ120" s="1640"/>
      <c r="BA120" s="1651">
        <v>0</v>
      </c>
    </row>
    <row s="1866" customFormat="1" customHeight="1" ht="11.25">
      <c r="A121" s="1379"/>
      <c r="B121" s="1379"/>
      <c r="C121" s="1379"/>
      <c r="D121" s="1379"/>
      <c r="E121" s="2275"/>
      <c r="F121" s="2275" t="s">
        <v>28</v>
      </c>
      <c r="G121" s="2275"/>
      <c r="H121" s="2275"/>
      <c r="I121" s="2302"/>
      <c r="J121" s="2302"/>
      <c r="K121" s="2272"/>
      <c r="L121" s="1385"/>
      <c r="M121" s="1792"/>
      <c r="N121" s="1792"/>
      <c r="O121" s="1792"/>
      <c r="P121" s="2390"/>
      <c r="Q121" s="2390"/>
      <c r="R121" s="2363"/>
      <c r="S121" s="2358"/>
      <c r="T121" s="2361"/>
      <c r="U121" s="316"/>
      <c r="V121" s="3165"/>
      <c r="W121" s="3166"/>
      <c r="X121" s="2618"/>
      <c r="Y121" s="2123"/>
      <c r="Z121" s="2618"/>
      <c r="AA121" s="2123"/>
      <c r="AB121" s="2123"/>
      <c r="AC121" s="2342"/>
      <c r="AD121" s="2453"/>
      <c r="AE121" s="2364" t="s">
        <v>28</v>
      </c>
      <c r="AF121" s="2123"/>
      <c r="AG121" s="2342"/>
      <c r="AH121" s="2453"/>
      <c r="AI121" s="2364" t="s">
        <v>28</v>
      </c>
      <c r="AJ121" s="2123"/>
      <c r="AK121" s="3167"/>
      <c r="AL121" s="3168"/>
      <c r="AM121" s="3169" t="s">
        <v>614</v>
      </c>
      <c r="AN121" s="3170"/>
      <c r="AO121" s="3171"/>
      <c r="AP121" s="3172"/>
      <c r="AQ121" s="3173"/>
      <c r="AR121" s="3174"/>
      <c r="AS121" s="3175"/>
      <c r="AT121" s="1406"/>
      <c r="AU121" s="2270"/>
      <c r="AV121" s="1658"/>
      <c r="AW121" s="1640"/>
      <c r="AX121" s="1640"/>
      <c r="AY121" s="1640"/>
      <c r="AZ121" s="1640"/>
      <c r="BA121" s="1651">
        <v>0</v>
      </c>
    </row>
    <row s="1866" customFormat="1" customHeight="1" ht="11.25">
      <c r="A122" s="1379"/>
      <c r="B122" s="1379"/>
      <c r="C122" s="1379"/>
      <c r="D122" s="1379"/>
      <c r="E122" s="2275"/>
      <c r="F122" s="2275" t="s">
        <v>28</v>
      </c>
      <c r="G122" s="2275"/>
      <c r="H122" s="2275"/>
      <c r="I122" s="2302"/>
      <c r="J122" s="2302"/>
      <c r="K122" s="2272"/>
      <c r="L122" s="1385"/>
      <c r="M122" s="1792"/>
      <c r="N122" s="1792"/>
      <c r="O122" s="1792"/>
      <c r="P122" s="2390"/>
      <c r="Q122" s="2390"/>
      <c r="R122" s="2363"/>
      <c r="S122" s="2358"/>
      <c r="T122" s="2361"/>
      <c r="U122" s="316"/>
      <c r="V122" s="3176"/>
      <c r="W122" s="3177"/>
      <c r="X122" s="2618"/>
      <c r="Y122" s="2123"/>
      <c r="Z122" s="2618"/>
      <c r="AA122" s="2123"/>
      <c r="AB122" s="2123"/>
      <c r="AC122" s="2342"/>
      <c r="AD122" s="2453"/>
      <c r="AE122" s="2364" t="s">
        <v>28</v>
      </c>
      <c r="AF122" s="2123"/>
      <c r="AG122" s="3178"/>
      <c r="AH122" s="3179"/>
      <c r="AI122" s="3180" t="s">
        <v>615</v>
      </c>
      <c r="AJ122" s="3181"/>
      <c r="AK122" s="3182"/>
      <c r="AL122" s="3183"/>
      <c r="AM122" s="3184"/>
      <c r="AN122" s="3185"/>
      <c r="AO122" s="3186"/>
      <c r="AP122" s="3187"/>
      <c r="AQ122" s="3188"/>
      <c r="AR122" s="3189"/>
      <c r="AS122" s="3190"/>
      <c r="AT122" s="1406"/>
      <c r="AU122" s="2270"/>
      <c r="AV122" s="1658"/>
      <c r="AW122" s="1640"/>
      <c r="AX122" s="1640"/>
      <c r="AY122" s="1640"/>
      <c r="AZ122" s="1640"/>
      <c r="BA122" s="1651">
        <v>0</v>
      </c>
    </row>
    <row s="1866" customFormat="1" customHeight="1" ht="11.25">
      <c r="A123" s="1379"/>
      <c r="B123" s="1379"/>
      <c r="C123" s="1379"/>
      <c r="D123" s="1379"/>
      <c r="E123" s="2275"/>
      <c r="F123" s="2275" t="s">
        <v>28</v>
      </c>
      <c r="G123" s="2275"/>
      <c r="H123" s="2275"/>
      <c r="I123" s="2302"/>
      <c r="J123" s="2302"/>
      <c r="K123" s="2272"/>
      <c r="L123" s="1385"/>
      <c r="M123" s="1792"/>
      <c r="N123" s="1792"/>
      <c r="O123" s="1792"/>
      <c r="P123" s="2390"/>
      <c r="Q123" s="2390"/>
      <c r="R123" s="2363"/>
      <c r="S123" s="2359"/>
      <c r="T123" s="2362"/>
      <c r="U123" s="316"/>
      <c r="V123" s="3191"/>
      <c r="W123" s="3192" t="str">
        <f>X120&amp;"-"&amp;Z120</f>
        <v>-</v>
      </c>
      <c r="X123" s="2325"/>
      <c r="Y123" s="2123"/>
      <c r="Z123" s="2325"/>
      <c r="AA123" s="2123"/>
      <c r="AB123" s="2123"/>
      <c r="AC123" s="3193"/>
      <c r="AD123" s="3194"/>
      <c r="AE123" s="3195" t="s">
        <v>616</v>
      </c>
      <c r="AF123" s="3196"/>
      <c r="AG123" s="3197"/>
      <c r="AH123" s="3198"/>
      <c r="AI123" s="3199"/>
      <c r="AJ123" s="3200"/>
      <c r="AK123" s="3201"/>
      <c r="AL123" s="3202"/>
      <c r="AM123" s="3203"/>
      <c r="AN123" s="3204"/>
      <c r="AO123" s="3205" t="str">
        <f>AP120&amp;"-"&amp;AR120</f>
        <v>45791.63103009259-46022.51598379629</v>
      </c>
      <c r="AP123" s="3206"/>
      <c r="AQ123" s="3207"/>
      <c r="AR123" s="3208"/>
      <c r="AS123" s="3209"/>
      <c r="AT123" s="1365"/>
      <c r="AU123" s="2270"/>
      <c r="AV123" s="1658"/>
      <c r="AW123" s="1640"/>
      <c r="AX123" s="1640" t="str">
        <f>IF(T123="","",T123)</f>
        <v/>
      </c>
      <c r="AY123" s="1640"/>
      <c r="AZ123" s="1640"/>
      <c r="BA123" s="1651">
        <v>0</v>
      </c>
    </row>
    <row s="1866" customFormat="1" customHeight="1" ht="11.25">
      <c r="A124" s="1379"/>
      <c r="B124" s="1379"/>
      <c r="C124" s="1379"/>
      <c r="D124" s="1379"/>
      <c r="E124" s="2275"/>
      <c r="F124" s="2275" t="s">
        <v>28</v>
      </c>
      <c r="G124" s="2275"/>
      <c r="H124" s="2275"/>
      <c r="I124" s="2302"/>
      <c r="J124" s="2272"/>
      <c r="K124" s="1379"/>
      <c r="L124" s="1385"/>
      <c r="M124" s="1792"/>
      <c r="N124" s="1792"/>
      <c r="O124" s="1792"/>
      <c r="P124" s="2390"/>
      <c r="Q124" s="2390"/>
      <c r="R124" s="372"/>
      <c r="S124" s="3210"/>
      <c r="T124" s="3211" t="s">
        <v>617</v>
      </c>
      <c r="U124" s="3212"/>
      <c r="V124" s="3213"/>
      <c r="W124" s="3214"/>
      <c r="X124" s="3215"/>
      <c r="Y124" s="3216"/>
      <c r="Z124" s="3217"/>
      <c r="AA124" s="3218"/>
      <c r="AB124" s="3219"/>
      <c r="AC124" s="3220"/>
      <c r="AD124" s="3221"/>
      <c r="AE124" s="3222"/>
      <c r="AF124" s="3223"/>
      <c r="AG124" s="3224"/>
      <c r="AH124" s="3225"/>
      <c r="AI124" s="3226"/>
      <c r="AJ124" s="3227"/>
      <c r="AK124" s="3228"/>
      <c r="AL124" s="3229"/>
      <c r="AM124" s="3230"/>
      <c r="AN124" s="3231"/>
      <c r="AO124" s="3232"/>
      <c r="AP124" s="3233"/>
      <c r="AQ124" s="3234"/>
      <c r="AR124" s="3235"/>
      <c r="AS124" s="3236"/>
      <c r="AT124" s="3237"/>
      <c r="AU124" s="2271"/>
      <c r="AV124" s="1658"/>
      <c r="AW124" s="1640"/>
      <c r="AX124" s="1640" t="str">
        <f>IF(T124="","",T124)</f>
        <v>Добавить строку</v>
      </c>
      <c r="AY124" s="1640"/>
      <c r="AZ124" s="1640"/>
      <c r="BA124" s="1651">
        <v>0</v>
      </c>
    </row>
    <row s="638" customFormat="1" customHeight="1" ht="0.75">
      <c r="A125" s="1359"/>
      <c r="B125" s="1359"/>
      <c r="C125" s="1359"/>
      <c r="D125" s="1359"/>
      <c r="E125" s="2275"/>
      <c r="F125" s="2275" t="s">
        <v>28</v>
      </c>
      <c r="G125" s="2275"/>
      <c r="H125" s="2275"/>
      <c r="I125" s="2272"/>
      <c r="J125" s="1359"/>
      <c r="K125" s="1359"/>
      <c r="L125" s="1561"/>
      <c r="M125" s="526"/>
      <c r="N125" s="526"/>
      <c r="O125" s="526"/>
      <c r="P125" s="2390"/>
      <c r="Q125" s="2390"/>
      <c r="R125" s="372"/>
      <c r="S125" s="1402"/>
      <c r="T125" s="1403"/>
      <c r="U125" s="1404"/>
      <c r="V125" s="1404"/>
      <c r="W125" s="1404"/>
      <c r="X125" s="1404"/>
      <c r="Y125" s="1404"/>
      <c r="Z125" s="1404"/>
      <c r="AA125" s="1404"/>
      <c r="AB125" s="1404"/>
      <c r="AC125" s="1404"/>
      <c r="AD125" s="1404"/>
      <c r="AE125" s="1404"/>
      <c r="AF125" s="1404"/>
      <c r="AG125" s="1404"/>
      <c r="AH125" s="1404"/>
      <c r="AI125" s="1404"/>
      <c r="AJ125" s="1404"/>
      <c r="AK125" s="1404"/>
      <c r="AL125" s="1404"/>
      <c r="AM125" s="1404"/>
      <c r="AN125" s="1404"/>
      <c r="AO125" s="1404"/>
      <c r="AP125" s="1404"/>
      <c r="AQ125" s="1404"/>
      <c r="AR125" s="1404"/>
      <c r="AS125" s="1404"/>
      <c r="AT125" s="1404"/>
      <c r="AU125" s="1405"/>
      <c r="AV125" s="1658"/>
      <c r="AW125" s="1640"/>
      <c r="AX125" s="1640" t="str">
        <f>IF(T125="","",T125)</f>
        <v/>
      </c>
      <c r="AY125" s="1640"/>
      <c r="AZ125" s="1640"/>
      <c r="BA125" s="1658">
        <v>0</v>
      </c>
    </row>
    <row s="638" customFormat="1" customHeight="1" ht="0.75">
      <c r="A126" s="1359"/>
      <c r="B126" s="1359"/>
      <c r="C126" s="1359"/>
      <c r="D126" s="1359"/>
      <c r="E126" s="2275"/>
      <c r="F126" s="2275" t="s">
        <v>28</v>
      </c>
      <c r="G126" s="2275"/>
      <c r="H126" s="2274"/>
      <c r="I126" s="1359"/>
      <c r="J126" s="1359"/>
      <c r="K126" s="1359"/>
      <c r="L126" s="1561"/>
      <c r="M126" s="1331"/>
      <c r="N126" s="1331"/>
      <c r="O126" s="1658"/>
      <c r="P126" s="1332"/>
      <c r="Q126" s="1360"/>
      <c r="R126" s="1417"/>
      <c r="S126" s="1402"/>
      <c r="T126" s="1403"/>
      <c r="U126" s="1404"/>
      <c r="V126" s="1404"/>
      <c r="W126" s="1404"/>
      <c r="X126" s="1404"/>
      <c r="Y126" s="1404"/>
      <c r="Z126" s="1404"/>
      <c r="AA126" s="1404"/>
      <c r="AB126" s="1404"/>
      <c r="AC126" s="1404"/>
      <c r="AD126" s="1404"/>
      <c r="AE126" s="1404"/>
      <c r="AF126" s="1404"/>
      <c r="AG126" s="1404"/>
      <c r="AH126" s="1404"/>
      <c r="AI126" s="1404"/>
      <c r="AJ126" s="1404"/>
      <c r="AK126" s="1404"/>
      <c r="AL126" s="1404"/>
      <c r="AM126" s="1404"/>
      <c r="AN126" s="1404"/>
      <c r="AO126" s="1404"/>
      <c r="AP126" s="1404"/>
      <c r="AQ126" s="1404"/>
      <c r="AR126" s="1404"/>
      <c r="AS126" s="1404"/>
      <c r="AT126" s="1404"/>
      <c r="AU126" s="1405"/>
      <c r="AV126" s="1658"/>
      <c r="AW126" s="1640"/>
      <c r="AX126" s="1640" t="str">
        <f>IF(T126="","",T126)</f>
        <v/>
      </c>
      <c r="AY126" s="1640"/>
      <c r="AZ126" s="1640"/>
      <c r="BA126" s="1658">
        <v>0</v>
      </c>
    </row>
    <row s="638" customFormat="1" customHeight="1" ht="0.75">
      <c r="A127" s="1359"/>
      <c r="B127" s="1359"/>
      <c r="C127" s="1359"/>
      <c r="D127" s="1359"/>
      <c r="E127" s="2275"/>
      <c r="F127" s="2275" t="s">
        <v>28</v>
      </c>
      <c r="G127" s="2274"/>
      <c r="H127" s="1359"/>
      <c r="I127" s="1359"/>
      <c r="J127" s="1359"/>
      <c r="K127" s="1359"/>
      <c r="L127" s="1561"/>
      <c r="M127" s="1331"/>
      <c r="N127" s="1331"/>
      <c r="O127" s="1658"/>
      <c r="P127" s="1332"/>
      <c r="Q127" s="1360"/>
      <c r="R127" s="1332"/>
      <c r="S127" s="1338"/>
      <c r="T127" s="1341" t="s">
        <v>268</v>
      </c>
      <c r="U127" s="1340"/>
      <c r="V127" s="1340"/>
      <c r="W127" s="1340"/>
      <c r="X127" s="1340"/>
      <c r="Y127" s="1340"/>
      <c r="Z127" s="1340"/>
      <c r="AA127" s="1340"/>
      <c r="AB127" s="1340"/>
      <c r="AC127" s="1340"/>
      <c r="AD127" s="1340"/>
      <c r="AE127" s="1340"/>
      <c r="AF127" s="1340"/>
      <c r="AG127" s="1340"/>
      <c r="AH127" s="1340"/>
      <c r="AI127" s="1340"/>
      <c r="AJ127" s="1340"/>
      <c r="AK127" s="1340"/>
      <c r="AL127" s="1340"/>
      <c r="AM127" s="1340"/>
      <c r="AN127" s="1340"/>
      <c r="AO127" s="1340"/>
      <c r="AP127" s="1340"/>
      <c r="AQ127" s="1340"/>
      <c r="AR127" s="1340"/>
      <c r="AS127" s="1340"/>
      <c r="AT127" s="1340"/>
      <c r="AU127" s="1340"/>
      <c r="AV127" s="1658"/>
      <c r="AW127" s="1640"/>
      <c r="AX127" s="1640" t="str">
        <f>IF(T127="","",T127)</f>
        <v>Добавить источник для дифференциации</v>
      </c>
      <c r="AY127" s="1640"/>
      <c r="AZ127" s="1640"/>
      <c r="BA127" s="1658">
        <v>0</v>
      </c>
    </row>
    <row s="638" customFormat="1" customHeight="1" ht="0.75">
      <c r="A128" s="1359"/>
      <c r="B128" s="1359"/>
      <c r="C128" s="1359"/>
      <c r="D128" s="1359"/>
      <c r="E128" s="2275"/>
      <c r="F128" s="2274" t="s">
        <v>28</v>
      </c>
      <c r="G128" s="1359"/>
      <c r="H128" s="1359"/>
      <c r="I128" s="1359"/>
      <c r="J128" s="1359"/>
      <c r="K128" s="1359"/>
      <c r="L128" s="1561"/>
      <c r="M128" s="1337"/>
      <c r="N128" s="1337"/>
      <c r="O128" s="1658"/>
      <c r="P128" s="1332"/>
      <c r="Q128" s="1360"/>
      <c r="R128" s="1332"/>
      <c r="S128" s="1338"/>
      <c r="T128" s="1341" t="s">
        <v>269</v>
      </c>
      <c r="U128" s="1340"/>
      <c r="V128" s="1340"/>
      <c r="W128" s="1340"/>
      <c r="X128" s="1340"/>
      <c r="Y128" s="1340"/>
      <c r="Z128" s="1340"/>
      <c r="AA128" s="1340"/>
      <c r="AB128" s="1340"/>
      <c r="AC128" s="1340"/>
      <c r="AD128" s="1340"/>
      <c r="AE128" s="1340"/>
      <c r="AF128" s="1340"/>
      <c r="AG128" s="1340"/>
      <c r="AH128" s="1340"/>
      <c r="AI128" s="1340"/>
      <c r="AJ128" s="1340"/>
      <c r="AK128" s="1340"/>
      <c r="AL128" s="1340"/>
      <c r="AM128" s="1340"/>
      <c r="AN128" s="1340"/>
      <c r="AO128" s="1340"/>
      <c r="AP128" s="1340"/>
      <c r="AQ128" s="1340"/>
      <c r="AR128" s="1340"/>
      <c r="AS128" s="1340"/>
      <c r="AT128" s="1340"/>
      <c r="AU128" s="1340"/>
      <c r="AV128" s="1658"/>
      <c r="AW128" s="1640"/>
      <c r="AX128" s="1640" t="str">
        <f>IF(T128="","",T128)</f>
        <v>Добавить централизованную систему для дифференциации</v>
      </c>
      <c r="AY128" s="1640"/>
      <c r="AZ128" s="1640"/>
      <c r="BA128" s="1658">
        <v>0</v>
      </c>
    </row>
    <row s="1866" customFormat="1" customHeight="1" ht="21">
      <c r="A129" s="1379"/>
      <c r="B129" s="1379" t="s">
        <v>288</v>
      </c>
      <c r="C129" s="1379"/>
      <c r="D129" s="1379"/>
      <c r="E129" s="2275"/>
      <c r="F129" s="2274" t="s">
        <v>28</v>
      </c>
      <c r="G129" s="1379"/>
      <c r="H129" s="1379"/>
      <c r="I129" s="1379"/>
      <c r="J129" s="1379"/>
      <c r="K129" s="1379"/>
      <c r="L129" s="1385"/>
      <c r="M129" s="1381"/>
      <c r="N129" s="1381"/>
      <c r="O129" s="1381"/>
      <c r="P129" s="2623"/>
      <c r="Q129" s="1427"/>
      <c r="R129" s="369"/>
      <c r="S129" s="2289" t="str">
        <f>INDEX(PT_DIFFERENTIATION_NUM_TER,MATCH(B129,PT_DIFFERENTIATION_TER_ID,0))</f>
        <v>1.6</v>
      </c>
      <c r="T129" s="1538" t="s">
        <v>550</v>
      </c>
      <c r="U129" s="316"/>
      <c r="V129" s="2259"/>
      <c r="W129" s="2259"/>
      <c r="X129" s="2259"/>
      <c r="Y129" s="2259"/>
      <c r="Z129" s="2259"/>
      <c r="AA129" s="2260"/>
      <c r="AB129" s="2258" t="str">
        <f>INDEX(PT_DIFFERENTIATION_TER,MATCH(B129,PT_DIFFERENTIATION_TER_ID,0))</f>
        <v>Территория 6</v>
      </c>
      <c r="AC129" s="2259"/>
      <c r="AD129" s="2259"/>
      <c r="AE129" s="2259"/>
      <c r="AF129" s="2259"/>
      <c r="AG129" s="2259"/>
      <c r="AH129" s="2259"/>
      <c r="AI129" s="2259"/>
      <c r="AJ129" s="2259"/>
      <c r="AK129" s="2259"/>
      <c r="AL129" s="2259"/>
      <c r="AM129" s="2259"/>
      <c r="AN129" s="2259"/>
      <c r="AO129" s="2259"/>
      <c r="AP129" s="2259"/>
      <c r="AQ129" s="2259"/>
      <c r="AR129" s="2259"/>
      <c r="AS129" s="2259"/>
      <c r="AT129" s="2260"/>
      <c r="AU129" s="1274" t="s">
        <v>551</v>
      </c>
      <c r="AV129" s="1658"/>
      <c r="AW129" s="1640"/>
      <c r="AX129" s="1640" t="str">
        <f>IF(T129="","",T129)</f>
        <v>Территория действия тарифа</v>
      </c>
      <c r="AY129" s="1640"/>
      <c r="AZ129" s="1640"/>
      <c r="BA129" s="1651">
        <v>0</v>
      </c>
    </row>
    <row s="1866" customFormat="1" customHeight="1" ht="22.5">
      <c r="A130" s="1379"/>
      <c r="B130" s="1379"/>
      <c r="C130" s="1379" t="s">
        <v>289</v>
      </c>
      <c r="D130" s="1379"/>
      <c r="E130" s="2275"/>
      <c r="F130" s="2275" t="s">
        <v>28</v>
      </c>
      <c r="G130" s="2274">
        <v>1</v>
      </c>
      <c r="H130" s="1379"/>
      <c r="I130" s="1379"/>
      <c r="J130" s="1379"/>
      <c r="K130" s="1379"/>
      <c r="L130" s="1385"/>
      <c r="M130" s="1381"/>
      <c r="N130" s="1381"/>
      <c r="O130" s="1381"/>
      <c r="P130" s="1428"/>
      <c r="Q130" s="1427"/>
      <c r="R130" s="369"/>
      <c r="S130" s="2289" t="str">
        <f>INDEX(PT_DIFFERENTIATION_NUM_CS,MATCH(C130,PT_DIFFERENTIATION_CS_ID,0))</f>
        <v>1.6.1</v>
      </c>
      <c r="T130" s="325" t="s">
        <v>552</v>
      </c>
      <c r="U130" s="316"/>
      <c r="V130" s="2259"/>
      <c r="W130" s="2259"/>
      <c r="X130" s="2259"/>
      <c r="Y130" s="2259"/>
      <c r="Z130" s="2259"/>
      <c r="AA130" s="2260"/>
      <c r="AB130" s="2258" t="str">
        <f>INDEX(PT_DIFFERENTIATION_CS,MATCH(C130,PT_DIFFERENTIATION_CS_ID,0))</f>
        <v>с. Хороль, Хорольский муниципальный округ</v>
      </c>
      <c r="AC130" s="2259"/>
      <c r="AD130" s="2259"/>
      <c r="AE130" s="2259"/>
      <c r="AF130" s="2259"/>
      <c r="AG130" s="2259"/>
      <c r="AH130" s="2259"/>
      <c r="AI130" s="2259"/>
      <c r="AJ130" s="2259"/>
      <c r="AK130" s="2259"/>
      <c r="AL130" s="2259"/>
      <c r="AM130" s="2259"/>
      <c r="AN130" s="2259"/>
      <c r="AO130" s="2259"/>
      <c r="AP130" s="2259"/>
      <c r="AQ130" s="2259"/>
      <c r="AR130" s="2259"/>
      <c r="AS130" s="2259"/>
      <c r="AT130" s="2260"/>
      <c r="AU130" s="1274" t="s">
        <v>553</v>
      </c>
      <c r="AV130" s="1658"/>
      <c r="AW130" s="1640"/>
      <c r="AX130" s="1640" t="str">
        <f>IF(T130="","",T130)</f>
        <v>Наименование системы теплоснабжения </v>
      </c>
      <c r="AY130" s="1640"/>
      <c r="AZ130" s="1640"/>
      <c r="BA130" s="1651">
        <v>0</v>
      </c>
    </row>
    <row s="1866" customFormat="1" customHeight="1" ht="21">
      <c r="A131" s="1379"/>
      <c r="B131" s="1379"/>
      <c r="C131" s="1379"/>
      <c r="D131" s="1379" t="s">
        <v>290</v>
      </c>
      <c r="E131" s="2275"/>
      <c r="F131" s="2275" t="s">
        <v>28</v>
      </c>
      <c r="G131" s="2275"/>
      <c r="H131" s="2274">
        <v>1</v>
      </c>
      <c r="I131" s="1379"/>
      <c r="J131" s="1379"/>
      <c r="K131" s="1379"/>
      <c r="L131" s="1385"/>
      <c r="M131" s="1381"/>
      <c r="N131" s="1381"/>
      <c r="O131" s="1381"/>
      <c r="P131" s="1428"/>
      <c r="Q131" s="1427"/>
      <c r="R131" s="369"/>
      <c r="S131" s="2289" t="str">
        <f>INDEX(PT_DIFFERENTIATION_NUM_IST_TE,MATCH(D131,PT_DIFFERENTIATION_IST_TE_ID,0))</f>
        <v>1.6.1.1</v>
      </c>
      <c r="T131" s="326" t="s">
        <v>554</v>
      </c>
      <c r="U131" s="316"/>
      <c r="V131" s="2259"/>
      <c r="W131" s="2259"/>
      <c r="X131" s="2259"/>
      <c r="Y131" s="2259"/>
      <c r="Z131" s="2259"/>
      <c r="AA131" s="2260"/>
      <c r="AB131" s="2258" t="str">
        <f>INDEX(PT_DIFFERENTIATION_IST_TE,MATCH(D131,PT_DIFFERENTIATION_IST_TE_ID,0))</f>
        <v>без дифференциации</v>
      </c>
      <c r="AC131" s="2259"/>
      <c r="AD131" s="2259"/>
      <c r="AE131" s="2259"/>
      <c r="AF131" s="2259"/>
      <c r="AG131" s="2259"/>
      <c r="AH131" s="2259"/>
      <c r="AI131" s="2259"/>
      <c r="AJ131" s="2259"/>
      <c r="AK131" s="2259"/>
      <c r="AL131" s="2259"/>
      <c r="AM131" s="2259"/>
      <c r="AN131" s="2259"/>
      <c r="AO131" s="2259"/>
      <c r="AP131" s="2259"/>
      <c r="AQ131" s="2259"/>
      <c r="AR131" s="2259"/>
      <c r="AS131" s="2259"/>
      <c r="AT131" s="2260"/>
      <c r="AU131" s="1274" t="s">
        <v>555</v>
      </c>
      <c r="AV131" s="1658"/>
      <c r="AW131" s="1640"/>
      <c r="AX131" s="1640" t="str">
        <f>IF(T131="","",T131)</f>
        <v>Источник тепловой энергии  </v>
      </c>
      <c r="AY131" s="1640"/>
      <c r="AZ131" s="1640"/>
      <c r="BA131" s="1651">
        <v>0</v>
      </c>
    </row>
    <row s="638" customFormat="1" customHeight="1" ht="0.75">
      <c r="A132" s="1359"/>
      <c r="B132" s="1359"/>
      <c r="C132" s="1359"/>
      <c r="D132" s="1359"/>
      <c r="E132" s="2275"/>
      <c r="F132" s="2275" t="s">
        <v>28</v>
      </c>
      <c r="G132" s="2275"/>
      <c r="H132" s="2275"/>
      <c r="I132" s="2272" t="str">
        <f>S131&amp;".1"</f>
        <v>1.6.1.1.1</v>
      </c>
      <c r="J132" s="1359"/>
      <c r="K132" s="1359"/>
      <c r="L132" s="1561" t="s">
        <v>556</v>
      </c>
      <c r="M132" s="526"/>
      <c r="N132" s="526"/>
      <c r="O132" s="526"/>
      <c r="P132" s="2390">
        <v>1</v>
      </c>
      <c r="Q132" s="2390"/>
      <c r="R132" s="372"/>
      <c r="S132" s="2320"/>
      <c r="T132" s="1399"/>
      <c r="U132" s="1400"/>
      <c r="V132" s="2313"/>
      <c r="W132" s="2313"/>
      <c r="X132" s="2313"/>
      <c r="Y132" s="2313"/>
      <c r="Z132" s="2313"/>
      <c r="AA132" s="2314"/>
      <c r="AB132" s="2312"/>
      <c r="AC132" s="2313"/>
      <c r="AD132" s="2313"/>
      <c r="AE132" s="2313"/>
      <c r="AF132" s="2313"/>
      <c r="AG132" s="2313"/>
      <c r="AH132" s="2313"/>
      <c r="AI132" s="2313"/>
      <c r="AJ132" s="2313"/>
      <c r="AK132" s="2313"/>
      <c r="AL132" s="2313"/>
      <c r="AM132" s="2313"/>
      <c r="AN132" s="2313"/>
      <c r="AO132" s="2313"/>
      <c r="AP132" s="2313"/>
      <c r="AQ132" s="2313"/>
      <c r="AR132" s="2313"/>
      <c r="AS132" s="2313"/>
      <c r="AT132" s="2314"/>
      <c r="AU132" s="1401"/>
      <c r="AV132" s="1658"/>
      <c r="AW132" s="1640"/>
      <c r="AX132" s="1640" t="str">
        <f>IF(T132="","",T132)</f>
        <v/>
      </c>
      <c r="AY132" s="1640"/>
      <c r="AZ132" s="1640"/>
      <c r="BA132" s="1658">
        <v>0</v>
      </c>
    </row>
    <row s="638" customFormat="1" customHeight="1" ht="0.75">
      <c r="A133" s="1359"/>
      <c r="B133" s="1359"/>
      <c r="C133" s="1359"/>
      <c r="D133" s="1359"/>
      <c r="E133" s="2275"/>
      <c r="F133" s="2275" t="s">
        <v>28</v>
      </c>
      <c r="G133" s="2275"/>
      <c r="H133" s="2275"/>
      <c r="I133" s="2302"/>
      <c r="J133" s="2272" t="str">
        <f>S131&amp;".1"</f>
        <v>1.6.1.1.1</v>
      </c>
      <c r="K133" s="1359"/>
      <c r="L133" s="1561"/>
      <c r="M133" s="526"/>
      <c r="N133" s="526"/>
      <c r="O133" s="526"/>
      <c r="P133" s="2390"/>
      <c r="Q133" s="2390">
        <v>1</v>
      </c>
      <c r="R133" s="373"/>
      <c r="S133" s="2320"/>
      <c r="T133" s="1415"/>
      <c r="U133" s="1400"/>
      <c r="V133" s="2313"/>
      <c r="W133" s="2313"/>
      <c r="X133" s="2313"/>
      <c r="Y133" s="2313"/>
      <c r="Z133" s="2313"/>
      <c r="AA133" s="2314"/>
      <c r="AB133" s="2312"/>
      <c r="AC133" s="2313"/>
      <c r="AD133" s="2313"/>
      <c r="AE133" s="2313"/>
      <c r="AF133" s="2313"/>
      <c r="AG133" s="2313"/>
      <c r="AH133" s="2313"/>
      <c r="AI133" s="2313"/>
      <c r="AJ133" s="2313"/>
      <c r="AK133" s="2313"/>
      <c r="AL133" s="2313"/>
      <c r="AM133" s="2313"/>
      <c r="AN133" s="2313"/>
      <c r="AO133" s="2313"/>
      <c r="AP133" s="2313"/>
      <c r="AQ133" s="2313"/>
      <c r="AR133" s="2313"/>
      <c r="AS133" s="2313"/>
      <c r="AT133" s="2314"/>
      <c r="AU133" s="1401"/>
      <c r="AV133" s="1658"/>
      <c r="AW133" s="1640"/>
      <c r="AX133" s="1640" t="str">
        <f>IF(T133="","",T133)</f>
        <v/>
      </c>
      <c r="AY133" s="1640"/>
      <c r="AZ133" s="1640"/>
      <c r="BA133" s="1658">
        <v>0</v>
      </c>
    </row>
    <row s="1866" customFormat="1" customHeight="1" ht="21">
      <c r="A134" s="1379"/>
      <c r="B134" s="1379"/>
      <c r="C134" s="1379"/>
      <c r="D134" s="1379"/>
      <c r="E134" s="2275"/>
      <c r="F134" s="2275" t="s">
        <v>28</v>
      </c>
      <c r="G134" s="2275"/>
      <c r="H134" s="2275"/>
      <c r="I134" s="2302"/>
      <c r="J134" s="2302"/>
      <c r="K134" s="2272" t="str">
        <f>S131&amp;".1"</f>
        <v>1.6.1.1.1</v>
      </c>
      <c r="L134" s="1385"/>
      <c r="M134" s="1792"/>
      <c r="N134" s="1792"/>
      <c r="O134" s="1792"/>
      <c r="P134" s="2390"/>
      <c r="Q134" s="2390"/>
      <c r="R134" s="2363">
        <v>1</v>
      </c>
      <c r="S134" s="2357" t="str">
        <f>$K134</f>
        <v>1.6.1.1.1</v>
      </c>
      <c r="T134" s="2360" t="s">
        <v>630</v>
      </c>
      <c r="U134" s="316"/>
      <c r="V134" s="767"/>
      <c r="W134" s="1273"/>
      <c r="X134" s="2618"/>
      <c r="Y134" s="2123" t="s">
        <v>64</v>
      </c>
      <c r="Z134" s="2618"/>
      <c r="AA134" s="2123" t="s">
        <v>64</v>
      </c>
      <c r="AB134" s="2123" t="s">
        <v>19</v>
      </c>
      <c r="AC134" s="2342"/>
      <c r="AD134" s="2453">
        <v>1</v>
      </c>
      <c r="AE134" s="2364" t="s">
        <v>28</v>
      </c>
      <c r="AF134" s="2123" t="s">
        <v>19</v>
      </c>
      <c r="AG134" s="2342"/>
      <c r="AH134" s="2453">
        <v>1</v>
      </c>
      <c r="AI134" s="2364" t="s">
        <v>28</v>
      </c>
      <c r="AJ134" s="2123" t="s">
        <v>19</v>
      </c>
      <c r="AK134" s="327"/>
      <c r="AL134" s="2453">
        <v>1</v>
      </c>
      <c r="AM134" s="1540" t="s">
        <v>28</v>
      </c>
      <c r="AN134" s="767"/>
      <c r="AO134" s="1273">
        <v>19.788</v>
      </c>
      <c r="AP134" s="2618">
        <v>45818</v>
      </c>
      <c r="AQ134" s="2123" t="s">
        <v>64</v>
      </c>
      <c r="AR134" s="2618">
        <v>46022</v>
      </c>
      <c r="AS134" s="2123" t="s">
        <v>64</v>
      </c>
      <c r="AT134" s="1364"/>
      <c r="AU134" s="2269" t="s">
        <v>613</v>
      </c>
      <c r="AV134" s="1658">
        <f>STRCHECKDATE(V137:AT137)</f>
      </c>
      <c r="AW134" s="1640"/>
      <c r="AX134" s="1640" t="str">
        <f>IF(T134="","",T134)</f>
        <v>Котельная</v>
      </c>
      <c r="AY134" s="1640"/>
      <c r="AZ134" s="1640"/>
      <c r="BA134" s="1651">
        <v>0</v>
      </c>
    </row>
    <row s="1866" customFormat="1" customHeight="1" ht="11.25">
      <c r="A135" s="1379"/>
      <c r="B135" s="1379"/>
      <c r="C135" s="1379"/>
      <c r="D135" s="1379"/>
      <c r="E135" s="2275"/>
      <c r="F135" s="2275" t="s">
        <v>28</v>
      </c>
      <c r="G135" s="2275"/>
      <c r="H135" s="2275"/>
      <c r="I135" s="2302"/>
      <c r="J135" s="2302"/>
      <c r="K135" s="2272"/>
      <c r="L135" s="1385"/>
      <c r="M135" s="1792"/>
      <c r="N135" s="1792"/>
      <c r="O135" s="1792"/>
      <c r="P135" s="2390"/>
      <c r="Q135" s="2390"/>
      <c r="R135" s="2363"/>
      <c r="S135" s="2358"/>
      <c r="T135" s="2361"/>
      <c r="U135" s="316"/>
      <c r="V135" s="3313"/>
      <c r="W135" s="3314"/>
      <c r="X135" s="2618"/>
      <c r="Y135" s="2123"/>
      <c r="Z135" s="2618"/>
      <c r="AA135" s="2123"/>
      <c r="AB135" s="2123"/>
      <c r="AC135" s="2342"/>
      <c r="AD135" s="2453"/>
      <c r="AE135" s="2364" t="s">
        <v>28</v>
      </c>
      <c r="AF135" s="2123"/>
      <c r="AG135" s="2342"/>
      <c r="AH135" s="2453"/>
      <c r="AI135" s="2364" t="s">
        <v>28</v>
      </c>
      <c r="AJ135" s="2123"/>
      <c r="AK135" s="3315"/>
      <c r="AL135" s="3316"/>
      <c r="AM135" s="3317" t="s">
        <v>614</v>
      </c>
      <c r="AN135" s="3318"/>
      <c r="AO135" s="3319"/>
      <c r="AP135" s="3320"/>
      <c r="AQ135" s="3321"/>
      <c r="AR135" s="3322"/>
      <c r="AS135" s="3323"/>
      <c r="AT135" s="1406"/>
      <c r="AU135" s="2270"/>
      <c r="AV135" s="1658"/>
      <c r="AW135" s="1640"/>
      <c r="AX135" s="1640"/>
      <c r="AY135" s="1640"/>
      <c r="AZ135" s="1640"/>
      <c r="BA135" s="1651">
        <v>0</v>
      </c>
    </row>
    <row s="1866" customFormat="1" customHeight="1" ht="11.25">
      <c r="A136" s="1379"/>
      <c r="B136" s="1379"/>
      <c r="C136" s="1379"/>
      <c r="D136" s="1379"/>
      <c r="E136" s="2275"/>
      <c r="F136" s="2275" t="s">
        <v>28</v>
      </c>
      <c r="G136" s="2275"/>
      <c r="H136" s="2275"/>
      <c r="I136" s="2302"/>
      <c r="J136" s="2302"/>
      <c r="K136" s="2272"/>
      <c r="L136" s="1385"/>
      <c r="M136" s="1792"/>
      <c r="N136" s="1792"/>
      <c r="O136" s="1792"/>
      <c r="P136" s="2390"/>
      <c r="Q136" s="2390"/>
      <c r="R136" s="2363"/>
      <c r="S136" s="2358"/>
      <c r="T136" s="2361"/>
      <c r="U136" s="316"/>
      <c r="V136" s="3324"/>
      <c r="W136" s="3325"/>
      <c r="X136" s="2618"/>
      <c r="Y136" s="2123"/>
      <c r="Z136" s="2618"/>
      <c r="AA136" s="2123"/>
      <c r="AB136" s="2123"/>
      <c r="AC136" s="2342"/>
      <c r="AD136" s="2453"/>
      <c r="AE136" s="2364" t="s">
        <v>28</v>
      </c>
      <c r="AF136" s="2123"/>
      <c r="AG136" s="3326"/>
      <c r="AH136" s="3327"/>
      <c r="AI136" s="3328" t="s">
        <v>615</v>
      </c>
      <c r="AJ136" s="3329"/>
      <c r="AK136" s="3330"/>
      <c r="AL136" s="3331"/>
      <c r="AM136" s="3332"/>
      <c r="AN136" s="3333"/>
      <c r="AO136" s="3334"/>
      <c r="AP136" s="3335"/>
      <c r="AQ136" s="3336"/>
      <c r="AR136" s="3337"/>
      <c r="AS136" s="3338"/>
      <c r="AT136" s="1406"/>
      <c r="AU136" s="2270"/>
      <c r="AV136" s="1658"/>
      <c r="AW136" s="1640"/>
      <c r="AX136" s="1640"/>
      <c r="AY136" s="1640"/>
      <c r="AZ136" s="1640"/>
      <c r="BA136" s="1651">
        <v>0</v>
      </c>
    </row>
    <row s="1866" customFormat="1" customHeight="1" ht="11.25">
      <c r="A137" s="1379"/>
      <c r="B137" s="1379"/>
      <c r="C137" s="1379"/>
      <c r="D137" s="1379"/>
      <c r="E137" s="2275"/>
      <c r="F137" s="2275" t="s">
        <v>28</v>
      </c>
      <c r="G137" s="2275"/>
      <c r="H137" s="2275"/>
      <c r="I137" s="2302"/>
      <c r="J137" s="2302"/>
      <c r="K137" s="2272"/>
      <c r="L137" s="1385"/>
      <c r="M137" s="1792"/>
      <c r="N137" s="1792"/>
      <c r="O137" s="1792"/>
      <c r="P137" s="2390"/>
      <c r="Q137" s="2390"/>
      <c r="R137" s="2363"/>
      <c r="S137" s="2359"/>
      <c r="T137" s="2362"/>
      <c r="U137" s="316"/>
      <c r="V137" s="3339"/>
      <c r="W137" s="3340" t="str">
        <f>X134&amp;"-"&amp;Z134</f>
        <v>-</v>
      </c>
      <c r="X137" s="2325"/>
      <c r="Y137" s="2123"/>
      <c r="Z137" s="2325"/>
      <c r="AA137" s="2123"/>
      <c r="AB137" s="2123"/>
      <c r="AC137" s="3341"/>
      <c r="AD137" s="3342"/>
      <c r="AE137" s="3343" t="s">
        <v>616</v>
      </c>
      <c r="AF137" s="3344"/>
      <c r="AG137" s="3345"/>
      <c r="AH137" s="3346"/>
      <c r="AI137" s="3347"/>
      <c r="AJ137" s="3348"/>
      <c r="AK137" s="3349"/>
      <c r="AL137" s="3350"/>
      <c r="AM137" s="3351"/>
      <c r="AN137" s="3352"/>
      <c r="AO137" s="3353" t="str">
        <f>AP134&amp;"-"&amp;AR134</f>
        <v>45818-46022</v>
      </c>
      <c r="AP137" s="3354"/>
      <c r="AQ137" s="3355"/>
      <c r="AR137" s="3356"/>
      <c r="AS137" s="3357"/>
      <c r="AT137" s="1365"/>
      <c r="AU137" s="2270"/>
      <c r="AV137" s="1658"/>
      <c r="AW137" s="1640"/>
      <c r="AX137" s="1640" t="str">
        <f>IF(T137="","",T137)</f>
        <v/>
      </c>
      <c r="AY137" s="1640"/>
      <c r="AZ137" s="1640"/>
      <c r="BA137" s="1651">
        <v>0</v>
      </c>
    </row>
    <row s="1866" customFormat="1" customHeight="1" ht="11.25">
      <c r="A138" s="1379"/>
      <c r="B138" s="1379"/>
      <c r="C138" s="1379"/>
      <c r="D138" s="1379"/>
      <c r="E138" s="2275"/>
      <c r="F138" s="2275" t="s">
        <v>28</v>
      </c>
      <c r="G138" s="2275"/>
      <c r="H138" s="2275"/>
      <c r="I138" s="2302"/>
      <c r="J138" s="2272"/>
      <c r="K138" s="1379"/>
      <c r="L138" s="1385"/>
      <c r="M138" s="1792"/>
      <c r="N138" s="1792"/>
      <c r="O138" s="1792"/>
      <c r="P138" s="2390"/>
      <c r="Q138" s="2390"/>
      <c r="R138" s="372"/>
      <c r="S138" s="3358"/>
      <c r="T138" s="3359" t="s">
        <v>617</v>
      </c>
      <c r="U138" s="3360"/>
      <c r="V138" s="3361"/>
      <c r="W138" s="3362"/>
      <c r="X138" s="3363"/>
      <c r="Y138" s="3364"/>
      <c r="Z138" s="3365"/>
      <c r="AA138" s="3366"/>
      <c r="AB138" s="3367"/>
      <c r="AC138" s="3368"/>
      <c r="AD138" s="3369"/>
      <c r="AE138" s="3370"/>
      <c r="AF138" s="3371"/>
      <c r="AG138" s="3372"/>
      <c r="AH138" s="3373"/>
      <c r="AI138" s="3374"/>
      <c r="AJ138" s="3375"/>
      <c r="AK138" s="3376"/>
      <c r="AL138" s="3377"/>
      <c r="AM138" s="3378"/>
      <c r="AN138" s="3379"/>
      <c r="AO138" s="3380"/>
      <c r="AP138" s="3381"/>
      <c r="AQ138" s="3382"/>
      <c r="AR138" s="3383"/>
      <c r="AS138" s="3384"/>
      <c r="AT138" s="3385"/>
      <c r="AU138" s="2271"/>
      <c r="AV138" s="1658"/>
      <c r="AW138" s="1640"/>
      <c r="AX138" s="1640" t="str">
        <f>IF(T138="","",T138)</f>
        <v>Добавить строку</v>
      </c>
      <c r="AY138" s="1640"/>
      <c r="AZ138" s="1640"/>
      <c r="BA138" s="1651">
        <v>0</v>
      </c>
    </row>
    <row s="638" customFormat="1" customHeight="1" ht="0.75">
      <c r="A139" s="1359"/>
      <c r="B139" s="1359"/>
      <c r="C139" s="1359"/>
      <c r="D139" s="1359"/>
      <c r="E139" s="2275"/>
      <c r="F139" s="2275" t="s">
        <v>28</v>
      </c>
      <c r="G139" s="2275"/>
      <c r="H139" s="2275"/>
      <c r="I139" s="2272"/>
      <c r="J139" s="1359"/>
      <c r="K139" s="1359"/>
      <c r="L139" s="1561"/>
      <c r="M139" s="526"/>
      <c r="N139" s="526"/>
      <c r="O139" s="526"/>
      <c r="P139" s="2390"/>
      <c r="Q139" s="2390"/>
      <c r="R139" s="372"/>
      <c r="S139" s="1402"/>
      <c r="T139" s="1403"/>
      <c r="U139" s="1404"/>
      <c r="V139" s="1404"/>
      <c r="W139" s="1404"/>
      <c r="X139" s="1404"/>
      <c r="Y139" s="1404"/>
      <c r="Z139" s="1404"/>
      <c r="AA139" s="1404"/>
      <c r="AB139" s="1404"/>
      <c r="AC139" s="1404"/>
      <c r="AD139" s="1404"/>
      <c r="AE139" s="1404"/>
      <c r="AF139" s="1404"/>
      <c r="AG139" s="1404"/>
      <c r="AH139" s="1404"/>
      <c r="AI139" s="1404"/>
      <c r="AJ139" s="1404"/>
      <c r="AK139" s="1404"/>
      <c r="AL139" s="1404"/>
      <c r="AM139" s="1404"/>
      <c r="AN139" s="1404"/>
      <c r="AO139" s="1404"/>
      <c r="AP139" s="1404"/>
      <c r="AQ139" s="1404"/>
      <c r="AR139" s="1404"/>
      <c r="AS139" s="1404"/>
      <c r="AT139" s="1404"/>
      <c r="AU139" s="1405"/>
      <c r="AV139" s="1658"/>
      <c r="AW139" s="1640"/>
      <c r="AX139" s="1640" t="str">
        <f>IF(T139="","",T139)</f>
        <v/>
      </c>
      <c r="AY139" s="1640"/>
      <c r="AZ139" s="1640"/>
      <c r="BA139" s="1658">
        <v>0</v>
      </c>
    </row>
    <row s="638" customFormat="1" customHeight="1" ht="0.75">
      <c r="A140" s="1359"/>
      <c r="B140" s="1359"/>
      <c r="C140" s="1359"/>
      <c r="D140" s="1359"/>
      <c r="E140" s="2275"/>
      <c r="F140" s="2275" t="s">
        <v>28</v>
      </c>
      <c r="G140" s="2275"/>
      <c r="H140" s="2274"/>
      <c r="I140" s="1359"/>
      <c r="J140" s="1359"/>
      <c r="K140" s="1359"/>
      <c r="L140" s="1561"/>
      <c r="M140" s="1331"/>
      <c r="N140" s="1331"/>
      <c r="O140" s="1658"/>
      <c r="P140" s="1332"/>
      <c r="Q140" s="1360"/>
      <c r="R140" s="1417"/>
      <c r="S140" s="1402"/>
      <c r="T140" s="1403"/>
      <c r="U140" s="1404"/>
      <c r="V140" s="1404"/>
      <c r="W140" s="1404"/>
      <c r="X140" s="1404"/>
      <c r="Y140" s="1404"/>
      <c r="Z140" s="1404"/>
      <c r="AA140" s="1404"/>
      <c r="AB140" s="1404"/>
      <c r="AC140" s="1404"/>
      <c r="AD140" s="1404"/>
      <c r="AE140" s="1404"/>
      <c r="AF140" s="1404"/>
      <c r="AG140" s="1404"/>
      <c r="AH140" s="1404"/>
      <c r="AI140" s="1404"/>
      <c r="AJ140" s="1404"/>
      <c r="AK140" s="1404"/>
      <c r="AL140" s="1404"/>
      <c r="AM140" s="1404"/>
      <c r="AN140" s="1404"/>
      <c r="AO140" s="1404"/>
      <c r="AP140" s="1404"/>
      <c r="AQ140" s="1404"/>
      <c r="AR140" s="1404"/>
      <c r="AS140" s="1404"/>
      <c r="AT140" s="1404"/>
      <c r="AU140" s="1405"/>
      <c r="AV140" s="1658"/>
      <c r="AW140" s="1640"/>
      <c r="AX140" s="1640" t="str">
        <f>IF(T140="","",T140)</f>
        <v/>
      </c>
      <c r="AY140" s="1640"/>
      <c r="AZ140" s="1640"/>
      <c r="BA140" s="1658">
        <v>0</v>
      </c>
    </row>
    <row s="638" customFormat="1" customHeight="1" ht="0.75">
      <c r="A141" s="1359"/>
      <c r="B141" s="1359"/>
      <c r="C141" s="1359"/>
      <c r="D141" s="1359"/>
      <c r="E141" s="2275"/>
      <c r="F141" s="2275" t="s">
        <v>28</v>
      </c>
      <c r="G141" s="2274"/>
      <c r="H141" s="1359"/>
      <c r="I141" s="1359"/>
      <c r="J141" s="1359"/>
      <c r="K141" s="1359"/>
      <c r="L141" s="1561"/>
      <c r="M141" s="1331"/>
      <c r="N141" s="1331"/>
      <c r="O141" s="1658"/>
      <c r="P141" s="1332"/>
      <c r="Q141" s="1360"/>
      <c r="R141" s="1332"/>
      <c r="S141" s="1338"/>
      <c r="T141" s="1341" t="s">
        <v>268</v>
      </c>
      <c r="U141" s="1340"/>
      <c r="V141" s="1340"/>
      <c r="W141" s="1340"/>
      <c r="X141" s="1340"/>
      <c r="Y141" s="1340"/>
      <c r="Z141" s="1340"/>
      <c r="AA141" s="1340"/>
      <c r="AB141" s="1340"/>
      <c r="AC141" s="1340"/>
      <c r="AD141" s="1340"/>
      <c r="AE141" s="1340"/>
      <c r="AF141" s="1340"/>
      <c r="AG141" s="1340"/>
      <c r="AH141" s="1340"/>
      <c r="AI141" s="1340"/>
      <c r="AJ141" s="1340"/>
      <c r="AK141" s="1340"/>
      <c r="AL141" s="1340"/>
      <c r="AM141" s="1340"/>
      <c r="AN141" s="1340"/>
      <c r="AO141" s="1340"/>
      <c r="AP141" s="1340"/>
      <c r="AQ141" s="1340"/>
      <c r="AR141" s="1340"/>
      <c r="AS141" s="1340"/>
      <c r="AT141" s="1340"/>
      <c r="AU141" s="1340"/>
      <c r="AV141" s="1658"/>
      <c r="AW141" s="1640"/>
      <c r="AX141" s="1640" t="str">
        <f>IF(T141="","",T141)</f>
        <v>Добавить источник для дифференциации</v>
      </c>
      <c r="AY141" s="1640"/>
      <c r="AZ141" s="1640"/>
      <c r="BA141" s="1658">
        <v>0</v>
      </c>
    </row>
    <row s="638" customFormat="1" customHeight="1" ht="0.75">
      <c r="A142" s="1359"/>
      <c r="B142" s="1359"/>
      <c r="C142" s="1359"/>
      <c r="D142" s="1359"/>
      <c r="E142" s="2275"/>
      <c r="F142" s="2274" t="s">
        <v>28</v>
      </c>
      <c r="G142" s="1359"/>
      <c r="H142" s="1359"/>
      <c r="I142" s="1359"/>
      <c r="J142" s="1359"/>
      <c r="K142" s="1359"/>
      <c r="L142" s="1561"/>
      <c r="M142" s="1337"/>
      <c r="N142" s="1337"/>
      <c r="O142" s="1658"/>
      <c r="P142" s="1332"/>
      <c r="Q142" s="1360"/>
      <c r="R142" s="1332"/>
      <c r="S142" s="1338"/>
      <c r="T142" s="1341" t="s">
        <v>269</v>
      </c>
      <c r="U142" s="1340"/>
      <c r="V142" s="1340"/>
      <c r="W142" s="1340"/>
      <c r="X142" s="1340"/>
      <c r="Y142" s="1340"/>
      <c r="Z142" s="1340"/>
      <c r="AA142" s="1340"/>
      <c r="AB142" s="1340"/>
      <c r="AC142" s="1340"/>
      <c r="AD142" s="1340"/>
      <c r="AE142" s="1340"/>
      <c r="AF142" s="1340"/>
      <c r="AG142" s="1340"/>
      <c r="AH142" s="1340"/>
      <c r="AI142" s="1340"/>
      <c r="AJ142" s="1340"/>
      <c r="AK142" s="1340"/>
      <c r="AL142" s="1340"/>
      <c r="AM142" s="1340"/>
      <c r="AN142" s="1340"/>
      <c r="AO142" s="1340"/>
      <c r="AP142" s="1340"/>
      <c r="AQ142" s="1340"/>
      <c r="AR142" s="1340"/>
      <c r="AS142" s="1340"/>
      <c r="AT142" s="1340"/>
      <c r="AU142" s="1340"/>
      <c r="AV142" s="1658"/>
      <c r="AW142" s="1640"/>
      <c r="AX142" s="1640" t="str">
        <f>IF(T142="","",T142)</f>
        <v>Добавить централизованную систему для дифференциации</v>
      </c>
      <c r="AY142" s="1640"/>
      <c r="AZ142" s="1640"/>
      <c r="BA142" s="1658">
        <v>0</v>
      </c>
    </row>
    <row s="1866" customFormat="1" customHeight="1" ht="21">
      <c r="A143" s="1379"/>
      <c r="B143" s="1379" t="s">
        <v>292</v>
      </c>
      <c r="C143" s="1379"/>
      <c r="D143" s="1379"/>
      <c r="E143" s="2275"/>
      <c r="F143" s="2274" t="s">
        <v>28</v>
      </c>
      <c r="G143" s="1379"/>
      <c r="H143" s="1379"/>
      <c r="I143" s="1379"/>
      <c r="J143" s="1379"/>
      <c r="K143" s="1379"/>
      <c r="L143" s="1385"/>
      <c r="M143" s="1381"/>
      <c r="N143" s="1381"/>
      <c r="O143" s="1381"/>
      <c r="P143" s="2623"/>
      <c r="Q143" s="1427"/>
      <c r="R143" s="369"/>
      <c r="S143" s="2289" t="str">
        <f>INDEX(PT_DIFFERENTIATION_NUM_TER,MATCH(B143,PT_DIFFERENTIATION_TER_ID,0))</f>
        <v>1.7</v>
      </c>
      <c r="T143" s="1538" t="s">
        <v>550</v>
      </c>
      <c r="U143" s="316"/>
      <c r="V143" s="2259"/>
      <c r="W143" s="2259"/>
      <c r="X143" s="2259"/>
      <c r="Y143" s="2259"/>
      <c r="Z143" s="2259"/>
      <c r="AA143" s="2260"/>
      <c r="AB143" s="2258" t="str">
        <f>INDEX(PT_DIFFERENTIATION_TER,MATCH(B143,PT_DIFFERENTIATION_TER_ID,0))</f>
        <v>Территория 7</v>
      </c>
      <c r="AC143" s="2259"/>
      <c r="AD143" s="2259"/>
      <c r="AE143" s="2259"/>
      <c r="AF143" s="2259"/>
      <c r="AG143" s="2259"/>
      <c r="AH143" s="2259"/>
      <c r="AI143" s="2259"/>
      <c r="AJ143" s="2259"/>
      <c r="AK143" s="2259"/>
      <c r="AL143" s="2259"/>
      <c r="AM143" s="2259"/>
      <c r="AN143" s="2259"/>
      <c r="AO143" s="2259"/>
      <c r="AP143" s="2259"/>
      <c r="AQ143" s="2259"/>
      <c r="AR143" s="2259"/>
      <c r="AS143" s="2259"/>
      <c r="AT143" s="2260"/>
      <c r="AU143" s="1274" t="s">
        <v>551</v>
      </c>
      <c r="AV143" s="1658"/>
      <c r="AW143" s="1640"/>
      <c r="AX143" s="1640" t="str">
        <f>IF(T143="","",T143)</f>
        <v>Территория действия тарифа</v>
      </c>
      <c r="AY143" s="1640"/>
      <c r="AZ143" s="1640"/>
      <c r="BA143" s="1651">
        <v>0</v>
      </c>
    </row>
    <row s="1866" customFormat="1" customHeight="1" ht="22.5">
      <c r="A144" s="1379"/>
      <c r="B144" s="1379"/>
      <c r="C144" s="1379" t="s">
        <v>293</v>
      </c>
      <c r="D144" s="1379"/>
      <c r="E144" s="2275"/>
      <c r="F144" s="2275" t="s">
        <v>28</v>
      </c>
      <c r="G144" s="2274">
        <v>1</v>
      </c>
      <c r="H144" s="1379"/>
      <c r="I144" s="1379"/>
      <c r="J144" s="1379"/>
      <c r="K144" s="1379"/>
      <c r="L144" s="1385"/>
      <c r="M144" s="1381"/>
      <c r="N144" s="1381"/>
      <c r="O144" s="1381"/>
      <c r="P144" s="1428"/>
      <c r="Q144" s="1427"/>
      <c r="R144" s="369"/>
      <c r="S144" s="2289" t="str">
        <f>INDEX(PT_DIFFERENTIATION_NUM_CS,MATCH(C144,PT_DIFFERENTIATION_CS_ID,0))</f>
        <v>1.7.1</v>
      </c>
      <c r="T144" s="325" t="s">
        <v>552</v>
      </c>
      <c r="U144" s="316"/>
      <c r="V144" s="2259"/>
      <c r="W144" s="2259"/>
      <c r="X144" s="2259"/>
      <c r="Y144" s="2259"/>
      <c r="Z144" s="2259"/>
      <c r="AA144" s="2260"/>
      <c r="AB144" s="2258" t="str">
        <f>INDEX(PT_DIFFERENTIATION_CS,MATCH(C144,PT_DIFFERENTIATION_CS_ID,0))</f>
        <v>пгт Кировский, Кировский муниципальный округ</v>
      </c>
      <c r="AC144" s="2259"/>
      <c r="AD144" s="2259"/>
      <c r="AE144" s="2259"/>
      <c r="AF144" s="2259"/>
      <c r="AG144" s="2259"/>
      <c r="AH144" s="2259"/>
      <c r="AI144" s="2259"/>
      <c r="AJ144" s="2259"/>
      <c r="AK144" s="2259"/>
      <c r="AL144" s="2259"/>
      <c r="AM144" s="2259"/>
      <c r="AN144" s="2259"/>
      <c r="AO144" s="2259"/>
      <c r="AP144" s="2259"/>
      <c r="AQ144" s="2259"/>
      <c r="AR144" s="2259"/>
      <c r="AS144" s="2259"/>
      <c r="AT144" s="2260"/>
      <c r="AU144" s="1274" t="s">
        <v>553</v>
      </c>
      <c r="AV144" s="1658"/>
      <c r="AW144" s="1640"/>
      <c r="AX144" s="1640" t="str">
        <f>IF(T144="","",T144)</f>
        <v>Наименование системы теплоснабжения </v>
      </c>
      <c r="AY144" s="1640"/>
      <c r="AZ144" s="1640"/>
      <c r="BA144" s="1651">
        <v>0</v>
      </c>
    </row>
    <row s="1866" customFormat="1" customHeight="1" ht="21">
      <c r="A145" s="1379"/>
      <c r="B145" s="1379"/>
      <c r="C145" s="1379"/>
      <c r="D145" s="1379" t="s">
        <v>294</v>
      </c>
      <c r="E145" s="2275"/>
      <c r="F145" s="2275" t="s">
        <v>28</v>
      </c>
      <c r="G145" s="2275"/>
      <c r="H145" s="2274">
        <v>1</v>
      </c>
      <c r="I145" s="1379"/>
      <c r="J145" s="1379"/>
      <c r="K145" s="1379"/>
      <c r="L145" s="1385"/>
      <c r="M145" s="1381"/>
      <c r="N145" s="1381"/>
      <c r="O145" s="1381"/>
      <c r="P145" s="1428"/>
      <c r="Q145" s="1427"/>
      <c r="R145" s="369"/>
      <c r="S145" s="2289" t="str">
        <f>INDEX(PT_DIFFERENTIATION_NUM_IST_TE,MATCH(D145,PT_DIFFERENTIATION_IST_TE_ID,0))</f>
        <v>1.7.1.1</v>
      </c>
      <c r="T145" s="326" t="s">
        <v>554</v>
      </c>
      <c r="U145" s="316"/>
      <c r="V145" s="2259"/>
      <c r="W145" s="2259"/>
      <c r="X145" s="2259"/>
      <c r="Y145" s="2259"/>
      <c r="Z145" s="2259"/>
      <c r="AA145" s="2260"/>
      <c r="AB145" s="2258" t="str">
        <f>INDEX(PT_DIFFERENTIATION_IST_TE,MATCH(D145,PT_DIFFERENTIATION_IST_TE_ID,0))</f>
        <v>без дифференциации</v>
      </c>
      <c r="AC145" s="2259"/>
      <c r="AD145" s="2259"/>
      <c r="AE145" s="2259"/>
      <c r="AF145" s="2259"/>
      <c r="AG145" s="2259"/>
      <c r="AH145" s="2259"/>
      <c r="AI145" s="2259"/>
      <c r="AJ145" s="2259"/>
      <c r="AK145" s="2259"/>
      <c r="AL145" s="2259"/>
      <c r="AM145" s="2259"/>
      <c r="AN145" s="2259"/>
      <c r="AO145" s="2259"/>
      <c r="AP145" s="2259"/>
      <c r="AQ145" s="2259"/>
      <c r="AR145" s="2259"/>
      <c r="AS145" s="2259"/>
      <c r="AT145" s="2260"/>
      <c r="AU145" s="1274" t="s">
        <v>555</v>
      </c>
      <c r="AV145" s="1658"/>
      <c r="AW145" s="1640"/>
      <c r="AX145" s="1640" t="str">
        <f>IF(T145="","",T145)</f>
        <v>Источник тепловой энергии  </v>
      </c>
      <c r="AY145" s="1640"/>
      <c r="AZ145" s="1640"/>
      <c r="BA145" s="1651">
        <v>0</v>
      </c>
    </row>
    <row s="638" customFormat="1" customHeight="1" ht="0.75">
      <c r="A146" s="1359"/>
      <c r="B146" s="1359"/>
      <c r="C146" s="1359"/>
      <c r="D146" s="1359"/>
      <c r="E146" s="2275"/>
      <c r="F146" s="2275" t="s">
        <v>28</v>
      </c>
      <c r="G146" s="2275"/>
      <c r="H146" s="2275"/>
      <c r="I146" s="2272" t="str">
        <f>S145&amp;".1"</f>
        <v>1.7.1.1.1</v>
      </c>
      <c r="J146" s="1359"/>
      <c r="K146" s="1359"/>
      <c r="L146" s="1561" t="s">
        <v>556</v>
      </c>
      <c r="M146" s="526"/>
      <c r="N146" s="526"/>
      <c r="O146" s="526"/>
      <c r="P146" s="2390">
        <v>1</v>
      </c>
      <c r="Q146" s="2390"/>
      <c r="R146" s="372"/>
      <c r="S146" s="2320"/>
      <c r="T146" s="1399"/>
      <c r="U146" s="1400"/>
      <c r="V146" s="2313"/>
      <c r="W146" s="2313"/>
      <c r="X146" s="2313"/>
      <c r="Y146" s="2313"/>
      <c r="Z146" s="2313"/>
      <c r="AA146" s="2314"/>
      <c r="AB146" s="2312"/>
      <c r="AC146" s="2313"/>
      <c r="AD146" s="2313"/>
      <c r="AE146" s="2313"/>
      <c r="AF146" s="2313"/>
      <c r="AG146" s="2313"/>
      <c r="AH146" s="2313"/>
      <c r="AI146" s="2313"/>
      <c r="AJ146" s="2313"/>
      <c r="AK146" s="2313"/>
      <c r="AL146" s="2313"/>
      <c r="AM146" s="2313"/>
      <c r="AN146" s="2313"/>
      <c r="AO146" s="2313"/>
      <c r="AP146" s="2313"/>
      <c r="AQ146" s="2313"/>
      <c r="AR146" s="2313"/>
      <c r="AS146" s="2313"/>
      <c r="AT146" s="2314"/>
      <c r="AU146" s="1401"/>
      <c r="AV146" s="1658"/>
      <c r="AW146" s="1640"/>
      <c r="AX146" s="1640" t="str">
        <f>IF(T146="","",T146)</f>
        <v/>
      </c>
      <c r="AY146" s="1640"/>
      <c r="AZ146" s="1640"/>
      <c r="BA146" s="1658">
        <v>0</v>
      </c>
    </row>
    <row s="638" customFormat="1" customHeight="1" ht="0.75">
      <c r="A147" s="1359"/>
      <c r="B147" s="1359"/>
      <c r="C147" s="1359"/>
      <c r="D147" s="1359"/>
      <c r="E147" s="2275"/>
      <c r="F147" s="2275" t="s">
        <v>28</v>
      </c>
      <c r="G147" s="2275"/>
      <c r="H147" s="2275"/>
      <c r="I147" s="2302"/>
      <c r="J147" s="2272" t="str">
        <f>S145&amp;".1"</f>
        <v>1.7.1.1.1</v>
      </c>
      <c r="K147" s="1359"/>
      <c r="L147" s="1561"/>
      <c r="M147" s="526"/>
      <c r="N147" s="526"/>
      <c r="O147" s="526"/>
      <c r="P147" s="2390"/>
      <c r="Q147" s="2390">
        <v>1</v>
      </c>
      <c r="R147" s="373"/>
      <c r="S147" s="2320"/>
      <c r="T147" s="1415"/>
      <c r="U147" s="1400"/>
      <c r="V147" s="2313"/>
      <c r="W147" s="2313"/>
      <c r="X147" s="2313"/>
      <c r="Y147" s="2313"/>
      <c r="Z147" s="2313"/>
      <c r="AA147" s="2314"/>
      <c r="AB147" s="2312"/>
      <c r="AC147" s="2313"/>
      <c r="AD147" s="2313"/>
      <c r="AE147" s="2313"/>
      <c r="AF147" s="2313"/>
      <c r="AG147" s="2313"/>
      <c r="AH147" s="2313"/>
      <c r="AI147" s="2313"/>
      <c r="AJ147" s="2313"/>
      <c r="AK147" s="2313"/>
      <c r="AL147" s="2313"/>
      <c r="AM147" s="2313"/>
      <c r="AN147" s="2313"/>
      <c r="AO147" s="2313"/>
      <c r="AP147" s="2313"/>
      <c r="AQ147" s="2313"/>
      <c r="AR147" s="2313"/>
      <c r="AS147" s="2313"/>
      <c r="AT147" s="2314"/>
      <c r="AU147" s="1401"/>
      <c r="AV147" s="1658"/>
      <c r="AW147" s="1640"/>
      <c r="AX147" s="1640" t="str">
        <f>IF(T147="","",T147)</f>
        <v/>
      </c>
      <c r="AY147" s="1640"/>
      <c r="AZ147" s="1640"/>
      <c r="BA147" s="1658">
        <v>0</v>
      </c>
    </row>
    <row s="1866" customFormat="1" customHeight="1" ht="21">
      <c r="A148" s="1379"/>
      <c r="B148" s="1379"/>
      <c r="C148" s="1379"/>
      <c r="D148" s="1379"/>
      <c r="E148" s="2275"/>
      <c r="F148" s="2275" t="s">
        <v>28</v>
      </c>
      <c r="G148" s="2275"/>
      <c r="H148" s="2275"/>
      <c r="I148" s="2302"/>
      <c r="J148" s="2302"/>
      <c r="K148" s="2272" t="str">
        <f>S145&amp;".1"</f>
        <v>1.7.1.1.1</v>
      </c>
      <c r="L148" s="1385"/>
      <c r="M148" s="1792"/>
      <c r="N148" s="1792"/>
      <c r="O148" s="1792"/>
      <c r="P148" s="2390"/>
      <c r="Q148" s="2390"/>
      <c r="R148" s="2363">
        <v>1</v>
      </c>
      <c r="S148" s="2357" t="str">
        <f>$K148</f>
        <v>1.7.1.1.1</v>
      </c>
      <c r="T148" s="2360" t="s">
        <v>630</v>
      </c>
      <c r="U148" s="316"/>
      <c r="V148" s="767"/>
      <c r="W148" s="1273"/>
      <c r="X148" s="2618"/>
      <c r="Y148" s="2123" t="s">
        <v>64</v>
      </c>
      <c r="Z148" s="2618"/>
      <c r="AA148" s="2123" t="s">
        <v>64</v>
      </c>
      <c r="AB148" s="2123" t="s">
        <v>19</v>
      </c>
      <c r="AC148" s="2342"/>
      <c r="AD148" s="2453">
        <v>1</v>
      </c>
      <c r="AE148" s="2364" t="s">
        <v>28</v>
      </c>
      <c r="AF148" s="2123" t="s">
        <v>19</v>
      </c>
      <c r="AG148" s="2342"/>
      <c r="AH148" s="2453">
        <v>1</v>
      </c>
      <c r="AI148" s="2364" t="s">
        <v>28</v>
      </c>
      <c r="AJ148" s="2123" t="s">
        <v>19</v>
      </c>
      <c r="AK148" s="327"/>
      <c r="AL148" s="2453">
        <v>1</v>
      </c>
      <c r="AM148" s="1540" t="s">
        <v>28</v>
      </c>
      <c r="AN148" s="767"/>
      <c r="AO148" s="1273">
        <v>268.406</v>
      </c>
      <c r="AP148" s="2618">
        <v>45827</v>
      </c>
      <c r="AQ148" s="2123" t="s">
        <v>64</v>
      </c>
      <c r="AR148" s="2618">
        <v>46022</v>
      </c>
      <c r="AS148" s="2123" t="s">
        <v>64</v>
      </c>
      <c r="AT148" s="1364"/>
      <c r="AU148" s="2269" t="s">
        <v>613</v>
      </c>
      <c r="AV148" s="1658">
        <f>STRCHECKDATE(V151:AT151)</f>
      </c>
      <c r="AW148" s="1640"/>
      <c r="AX148" s="1640" t="str">
        <f>IF(T148="","",T148)</f>
        <v>Котельная</v>
      </c>
      <c r="AY148" s="1640"/>
      <c r="AZ148" s="1640"/>
      <c r="BA148" s="1651">
        <v>0</v>
      </c>
    </row>
    <row s="1866" customFormat="1" customHeight="1" ht="11.25">
      <c r="A149" s="1379"/>
      <c r="B149" s="1379"/>
      <c r="C149" s="1379"/>
      <c r="D149" s="1379"/>
      <c r="E149" s="2275"/>
      <c r="F149" s="2275" t="s">
        <v>28</v>
      </c>
      <c r="G149" s="2275"/>
      <c r="H149" s="2275"/>
      <c r="I149" s="2302"/>
      <c r="J149" s="2302"/>
      <c r="K149" s="2272"/>
      <c r="L149" s="1385"/>
      <c r="M149" s="1792"/>
      <c r="N149" s="1792"/>
      <c r="O149" s="1792"/>
      <c r="P149" s="2390"/>
      <c r="Q149" s="2390"/>
      <c r="R149" s="2363"/>
      <c r="S149" s="2358"/>
      <c r="T149" s="2361"/>
      <c r="U149" s="316"/>
      <c r="V149" s="3391"/>
      <c r="W149" s="3392"/>
      <c r="X149" s="2618"/>
      <c r="Y149" s="2123"/>
      <c r="Z149" s="2618"/>
      <c r="AA149" s="2123"/>
      <c r="AB149" s="2123"/>
      <c r="AC149" s="2342"/>
      <c r="AD149" s="2453"/>
      <c r="AE149" s="2364" t="s">
        <v>28</v>
      </c>
      <c r="AF149" s="2123"/>
      <c r="AG149" s="2342"/>
      <c r="AH149" s="2453"/>
      <c r="AI149" s="2364" t="s">
        <v>28</v>
      </c>
      <c r="AJ149" s="2123"/>
      <c r="AK149" s="3393"/>
      <c r="AL149" s="3394"/>
      <c r="AM149" s="3395" t="s">
        <v>614</v>
      </c>
      <c r="AN149" s="3396"/>
      <c r="AO149" s="3397"/>
      <c r="AP149" s="3398"/>
      <c r="AQ149" s="3399"/>
      <c r="AR149" s="3400"/>
      <c r="AS149" s="3401"/>
      <c r="AT149" s="1406"/>
      <c r="AU149" s="2270"/>
      <c r="AV149" s="1658"/>
      <c r="AW149" s="1640"/>
      <c r="AX149" s="1640"/>
      <c r="AY149" s="1640"/>
      <c r="AZ149" s="1640"/>
      <c r="BA149" s="1651">
        <v>0</v>
      </c>
    </row>
    <row s="1866" customFormat="1" customHeight="1" ht="11.25">
      <c r="A150" s="1379"/>
      <c r="B150" s="1379"/>
      <c r="C150" s="1379"/>
      <c r="D150" s="1379"/>
      <c r="E150" s="2275"/>
      <c r="F150" s="2275" t="s">
        <v>28</v>
      </c>
      <c r="G150" s="2275"/>
      <c r="H150" s="2275"/>
      <c r="I150" s="2302"/>
      <c r="J150" s="2302"/>
      <c r="K150" s="2272"/>
      <c r="L150" s="1385"/>
      <c r="M150" s="1792"/>
      <c r="N150" s="1792"/>
      <c r="O150" s="1792"/>
      <c r="P150" s="2390"/>
      <c r="Q150" s="2390"/>
      <c r="R150" s="2363"/>
      <c r="S150" s="2358"/>
      <c r="T150" s="2361"/>
      <c r="U150" s="316"/>
      <c r="V150" s="3402"/>
      <c r="W150" s="3403"/>
      <c r="X150" s="2618"/>
      <c r="Y150" s="2123"/>
      <c r="Z150" s="2618"/>
      <c r="AA150" s="2123"/>
      <c r="AB150" s="2123"/>
      <c r="AC150" s="2342"/>
      <c r="AD150" s="2453"/>
      <c r="AE150" s="2364" t="s">
        <v>28</v>
      </c>
      <c r="AF150" s="2123"/>
      <c r="AG150" s="3404"/>
      <c r="AH150" s="3405"/>
      <c r="AI150" s="3406" t="s">
        <v>615</v>
      </c>
      <c r="AJ150" s="3407"/>
      <c r="AK150" s="3408"/>
      <c r="AL150" s="3409"/>
      <c r="AM150" s="3410"/>
      <c r="AN150" s="3411"/>
      <c r="AO150" s="3412"/>
      <c r="AP150" s="3413"/>
      <c r="AQ150" s="3414"/>
      <c r="AR150" s="3415"/>
      <c r="AS150" s="3416"/>
      <c r="AT150" s="1406"/>
      <c r="AU150" s="2270"/>
      <c r="AV150" s="1658"/>
      <c r="AW150" s="1640"/>
      <c r="AX150" s="1640"/>
      <c r="AY150" s="1640"/>
      <c r="AZ150" s="1640"/>
      <c r="BA150" s="1651">
        <v>0</v>
      </c>
    </row>
    <row s="1866" customFormat="1" customHeight="1" ht="11.25">
      <c r="A151" s="1379"/>
      <c r="B151" s="1379"/>
      <c r="C151" s="1379"/>
      <c r="D151" s="1379"/>
      <c r="E151" s="2275"/>
      <c r="F151" s="2275" t="s">
        <v>28</v>
      </c>
      <c r="G151" s="2275"/>
      <c r="H151" s="2275"/>
      <c r="I151" s="2302"/>
      <c r="J151" s="2302"/>
      <c r="K151" s="2272"/>
      <c r="L151" s="1385"/>
      <c r="M151" s="1792"/>
      <c r="N151" s="1792"/>
      <c r="O151" s="1792"/>
      <c r="P151" s="2390"/>
      <c r="Q151" s="2390"/>
      <c r="R151" s="2363"/>
      <c r="S151" s="2359"/>
      <c r="T151" s="2362"/>
      <c r="U151" s="316"/>
      <c r="V151" s="3417"/>
      <c r="W151" s="3418" t="str">
        <f>X148&amp;"-"&amp;Z148</f>
        <v>-</v>
      </c>
      <c r="X151" s="2325"/>
      <c r="Y151" s="2123"/>
      <c r="Z151" s="2325"/>
      <c r="AA151" s="2123"/>
      <c r="AB151" s="2123"/>
      <c r="AC151" s="3419"/>
      <c r="AD151" s="3420"/>
      <c r="AE151" s="3421" t="s">
        <v>616</v>
      </c>
      <c r="AF151" s="3422"/>
      <c r="AG151" s="3423"/>
      <c r="AH151" s="3424"/>
      <c r="AI151" s="3425"/>
      <c r="AJ151" s="3426"/>
      <c r="AK151" s="3427"/>
      <c r="AL151" s="3428"/>
      <c r="AM151" s="3429"/>
      <c r="AN151" s="3430"/>
      <c r="AO151" s="3431" t="str">
        <f>AP148&amp;"-"&amp;AR148</f>
        <v>45827-46022</v>
      </c>
      <c r="AP151" s="3432"/>
      <c r="AQ151" s="3433"/>
      <c r="AR151" s="3434"/>
      <c r="AS151" s="3435"/>
      <c r="AT151" s="1365"/>
      <c r="AU151" s="2270"/>
      <c r="AV151" s="1658"/>
      <c r="AW151" s="1640"/>
      <c r="AX151" s="1640" t="str">
        <f>IF(T151="","",T151)</f>
        <v/>
      </c>
      <c r="AY151" s="1640"/>
      <c r="AZ151" s="1640"/>
      <c r="BA151" s="1651">
        <v>0</v>
      </c>
    </row>
    <row s="1866" customFormat="1" customHeight="1" ht="11.25">
      <c r="A152" s="1379"/>
      <c r="B152" s="1379"/>
      <c r="C152" s="1379"/>
      <c r="D152" s="1379"/>
      <c r="E152" s="2275"/>
      <c r="F152" s="2275" t="s">
        <v>28</v>
      </c>
      <c r="G152" s="2275"/>
      <c r="H152" s="2275"/>
      <c r="I152" s="2302"/>
      <c r="J152" s="2272"/>
      <c r="K152" s="1379"/>
      <c r="L152" s="1385"/>
      <c r="M152" s="1792"/>
      <c r="N152" s="1792"/>
      <c r="O152" s="1792"/>
      <c r="P152" s="2390"/>
      <c r="Q152" s="2390"/>
      <c r="R152" s="372"/>
      <c r="S152" s="3436"/>
      <c r="T152" s="3437" t="s">
        <v>617</v>
      </c>
      <c r="U152" s="3438"/>
      <c r="V152" s="3439"/>
      <c r="W152" s="3440"/>
      <c r="X152" s="3441"/>
      <c r="Y152" s="3442"/>
      <c r="Z152" s="3443"/>
      <c r="AA152" s="3444"/>
      <c r="AB152" s="3445"/>
      <c r="AC152" s="3446"/>
      <c r="AD152" s="3447"/>
      <c r="AE152" s="3448"/>
      <c r="AF152" s="3449"/>
      <c r="AG152" s="3450"/>
      <c r="AH152" s="3451"/>
      <c r="AI152" s="3452"/>
      <c r="AJ152" s="3453"/>
      <c r="AK152" s="3454"/>
      <c r="AL152" s="3455"/>
      <c r="AM152" s="3456"/>
      <c r="AN152" s="3457"/>
      <c r="AO152" s="3458"/>
      <c r="AP152" s="3459"/>
      <c r="AQ152" s="3460"/>
      <c r="AR152" s="3461"/>
      <c r="AS152" s="3462"/>
      <c r="AT152" s="3463"/>
      <c r="AU152" s="2271"/>
      <c r="AV152" s="1658"/>
      <c r="AW152" s="1640"/>
      <c r="AX152" s="1640" t="str">
        <f>IF(T152="","",T152)</f>
        <v>Добавить строку</v>
      </c>
      <c r="AY152" s="1640"/>
      <c r="AZ152" s="1640"/>
      <c r="BA152" s="1651">
        <v>0</v>
      </c>
    </row>
    <row s="638" customFormat="1" customHeight="1" ht="0.75">
      <c r="A153" s="1359"/>
      <c r="B153" s="1359"/>
      <c r="C153" s="1359"/>
      <c r="D153" s="1359"/>
      <c r="E153" s="2275"/>
      <c r="F153" s="2275" t="s">
        <v>28</v>
      </c>
      <c r="G153" s="2275"/>
      <c r="H153" s="2275"/>
      <c r="I153" s="2272"/>
      <c r="J153" s="1359"/>
      <c r="K153" s="1359"/>
      <c r="L153" s="1561"/>
      <c r="M153" s="526"/>
      <c r="N153" s="526"/>
      <c r="O153" s="526"/>
      <c r="P153" s="2390"/>
      <c r="Q153" s="2390"/>
      <c r="R153" s="372"/>
      <c r="S153" s="1402"/>
      <c r="T153" s="1403"/>
      <c r="U153" s="1404"/>
      <c r="V153" s="1404"/>
      <c r="W153" s="1404"/>
      <c r="X153" s="1404"/>
      <c r="Y153" s="1404"/>
      <c r="Z153" s="1404"/>
      <c r="AA153" s="1404"/>
      <c r="AB153" s="1404"/>
      <c r="AC153" s="1404"/>
      <c r="AD153" s="1404"/>
      <c r="AE153" s="1404"/>
      <c r="AF153" s="1404"/>
      <c r="AG153" s="1404"/>
      <c r="AH153" s="1404"/>
      <c r="AI153" s="1404"/>
      <c r="AJ153" s="1404"/>
      <c r="AK153" s="1404"/>
      <c r="AL153" s="1404"/>
      <c r="AM153" s="1404"/>
      <c r="AN153" s="1404"/>
      <c r="AO153" s="1404"/>
      <c r="AP153" s="1404"/>
      <c r="AQ153" s="1404"/>
      <c r="AR153" s="1404"/>
      <c r="AS153" s="1404"/>
      <c r="AT153" s="1404"/>
      <c r="AU153" s="1405"/>
      <c r="AV153" s="1658"/>
      <c r="AW153" s="1640"/>
      <c r="AX153" s="1640" t="str">
        <f>IF(T153="","",T153)</f>
        <v/>
      </c>
      <c r="AY153" s="1640"/>
      <c r="AZ153" s="1640"/>
      <c r="BA153" s="1658">
        <v>0</v>
      </c>
    </row>
    <row s="638" customFormat="1" customHeight="1" ht="0.75">
      <c r="A154" s="1359"/>
      <c r="B154" s="1359"/>
      <c r="C154" s="1359"/>
      <c r="D154" s="1359"/>
      <c r="E154" s="2275"/>
      <c r="F154" s="2275" t="s">
        <v>28</v>
      </c>
      <c r="G154" s="2275"/>
      <c r="H154" s="2274"/>
      <c r="I154" s="1359"/>
      <c r="J154" s="1359"/>
      <c r="K154" s="1359"/>
      <c r="L154" s="1561"/>
      <c r="M154" s="1331"/>
      <c r="N154" s="1331"/>
      <c r="O154" s="1658"/>
      <c r="P154" s="1332"/>
      <c r="Q154" s="1360"/>
      <c r="R154" s="1417"/>
      <c r="S154" s="1402"/>
      <c r="T154" s="1403"/>
      <c r="U154" s="1404"/>
      <c r="V154" s="1404"/>
      <c r="W154" s="1404"/>
      <c r="X154" s="1404"/>
      <c r="Y154" s="1404"/>
      <c r="Z154" s="1404"/>
      <c r="AA154" s="1404"/>
      <c r="AB154" s="1404"/>
      <c r="AC154" s="1404"/>
      <c r="AD154" s="1404"/>
      <c r="AE154" s="1404"/>
      <c r="AF154" s="1404"/>
      <c r="AG154" s="1404"/>
      <c r="AH154" s="1404"/>
      <c r="AI154" s="1404"/>
      <c r="AJ154" s="1404"/>
      <c r="AK154" s="1404"/>
      <c r="AL154" s="1404"/>
      <c r="AM154" s="1404"/>
      <c r="AN154" s="1404"/>
      <c r="AO154" s="1404"/>
      <c r="AP154" s="1404"/>
      <c r="AQ154" s="1404"/>
      <c r="AR154" s="1404"/>
      <c r="AS154" s="1404"/>
      <c r="AT154" s="1404"/>
      <c r="AU154" s="1405"/>
      <c r="AV154" s="1658"/>
      <c r="AW154" s="1640"/>
      <c r="AX154" s="1640" t="str">
        <f>IF(T154="","",T154)</f>
        <v/>
      </c>
      <c r="AY154" s="1640"/>
      <c r="AZ154" s="1640"/>
      <c r="BA154" s="1658">
        <v>0</v>
      </c>
    </row>
    <row s="638" customFormat="1" customHeight="1" ht="0.75">
      <c r="A155" s="1359"/>
      <c r="B155" s="1359"/>
      <c r="C155" s="1359"/>
      <c r="D155" s="1359"/>
      <c r="E155" s="2275"/>
      <c r="F155" s="2275" t="s">
        <v>28</v>
      </c>
      <c r="G155" s="2274"/>
      <c r="H155" s="1359"/>
      <c r="I155" s="1359"/>
      <c r="J155" s="1359"/>
      <c r="K155" s="1359"/>
      <c r="L155" s="1561"/>
      <c r="M155" s="1331"/>
      <c r="N155" s="1331"/>
      <c r="O155" s="1658"/>
      <c r="P155" s="1332"/>
      <c r="Q155" s="1360"/>
      <c r="R155" s="1332"/>
      <c r="S155" s="1338"/>
      <c r="T155" s="1341" t="s">
        <v>268</v>
      </c>
      <c r="U155" s="1340"/>
      <c r="V155" s="1340"/>
      <c r="W155" s="1340"/>
      <c r="X155" s="1340"/>
      <c r="Y155" s="1340"/>
      <c r="Z155" s="1340"/>
      <c r="AA155" s="1340"/>
      <c r="AB155" s="1340"/>
      <c r="AC155" s="1340"/>
      <c r="AD155" s="1340"/>
      <c r="AE155" s="1340"/>
      <c r="AF155" s="1340"/>
      <c r="AG155" s="1340"/>
      <c r="AH155" s="1340"/>
      <c r="AI155" s="1340"/>
      <c r="AJ155" s="1340"/>
      <c r="AK155" s="1340"/>
      <c r="AL155" s="1340"/>
      <c r="AM155" s="1340"/>
      <c r="AN155" s="1340"/>
      <c r="AO155" s="1340"/>
      <c r="AP155" s="1340"/>
      <c r="AQ155" s="1340"/>
      <c r="AR155" s="1340"/>
      <c r="AS155" s="1340"/>
      <c r="AT155" s="1340"/>
      <c r="AU155" s="1340"/>
      <c r="AV155" s="1658"/>
      <c r="AW155" s="1640"/>
      <c r="AX155" s="1640" t="str">
        <f>IF(T155="","",T155)</f>
        <v>Добавить источник для дифференциации</v>
      </c>
      <c r="AY155" s="1640"/>
      <c r="AZ155" s="1640"/>
      <c r="BA155" s="1658">
        <v>0</v>
      </c>
    </row>
    <row s="638" customFormat="1" customHeight="1" ht="0.75">
      <c r="A156" s="1359"/>
      <c r="B156" s="1359"/>
      <c r="C156" s="1359"/>
      <c r="D156" s="1359"/>
      <c r="E156" s="2275"/>
      <c r="F156" s="2274" t="s">
        <v>28</v>
      </c>
      <c r="G156" s="1359"/>
      <c r="H156" s="1359"/>
      <c r="I156" s="1359"/>
      <c r="J156" s="1359"/>
      <c r="K156" s="1359"/>
      <c r="L156" s="1561"/>
      <c r="M156" s="1337"/>
      <c r="N156" s="1337"/>
      <c r="O156" s="1658"/>
      <c r="P156" s="1332"/>
      <c r="Q156" s="1360"/>
      <c r="R156" s="1332"/>
      <c r="S156" s="1338"/>
      <c r="T156" s="1341" t="s">
        <v>269</v>
      </c>
      <c r="U156" s="1340"/>
      <c r="V156" s="1340"/>
      <c r="W156" s="1340"/>
      <c r="X156" s="1340"/>
      <c r="Y156" s="1340"/>
      <c r="Z156" s="1340"/>
      <c r="AA156" s="1340"/>
      <c r="AB156" s="1340"/>
      <c r="AC156" s="1340"/>
      <c r="AD156" s="1340"/>
      <c r="AE156" s="1340"/>
      <c r="AF156" s="1340"/>
      <c r="AG156" s="1340"/>
      <c r="AH156" s="1340"/>
      <c r="AI156" s="1340"/>
      <c r="AJ156" s="1340"/>
      <c r="AK156" s="1340"/>
      <c r="AL156" s="1340"/>
      <c r="AM156" s="1340"/>
      <c r="AN156" s="1340"/>
      <c r="AO156" s="1340"/>
      <c r="AP156" s="1340"/>
      <c r="AQ156" s="1340"/>
      <c r="AR156" s="1340"/>
      <c r="AS156" s="1340"/>
      <c r="AT156" s="1340"/>
      <c r="AU156" s="1340"/>
      <c r="AV156" s="1658"/>
      <c r="AW156" s="1640"/>
      <c r="AX156" s="1640" t="str">
        <f>IF(T156="","",T156)</f>
        <v>Добавить централизованную систему для дифференциации</v>
      </c>
      <c r="AY156" s="1640"/>
      <c r="AZ156" s="1640"/>
      <c r="BA156" s="1658">
        <v>0</v>
      </c>
    </row>
    <row s="1866" customFormat="1" customHeight="1" ht="21">
      <c r="A157" s="1379"/>
      <c r="B157" s="1379" t="s">
        <v>296</v>
      </c>
      <c r="C157" s="1379"/>
      <c r="D157" s="1379"/>
      <c r="E157" s="2275"/>
      <c r="F157" s="2274" t="s">
        <v>28</v>
      </c>
      <c r="G157" s="1379"/>
      <c r="H157" s="1379"/>
      <c r="I157" s="1379"/>
      <c r="J157" s="1379"/>
      <c r="K157" s="1379"/>
      <c r="L157" s="1385"/>
      <c r="M157" s="1381"/>
      <c r="N157" s="1381"/>
      <c r="O157" s="1381"/>
      <c r="P157" s="2623"/>
      <c r="Q157" s="1427"/>
      <c r="R157" s="369"/>
      <c r="S157" s="2289" t="str">
        <f>INDEX(PT_DIFFERENTIATION_NUM_TER,MATCH(B157,PT_DIFFERENTIATION_TER_ID,0))</f>
        <v>1.8</v>
      </c>
      <c r="T157" s="1538" t="s">
        <v>550</v>
      </c>
      <c r="U157" s="316"/>
      <c r="V157" s="2259"/>
      <c r="W157" s="2259"/>
      <c r="X157" s="2259"/>
      <c r="Y157" s="2259"/>
      <c r="Z157" s="2259"/>
      <c r="AA157" s="2260"/>
      <c r="AB157" s="2258" t="str">
        <f>INDEX(PT_DIFFERENTIATION_TER,MATCH(B157,PT_DIFFERENTIATION_TER_ID,0))</f>
        <v>Территория 8</v>
      </c>
      <c r="AC157" s="2259"/>
      <c r="AD157" s="2259"/>
      <c r="AE157" s="2259"/>
      <c r="AF157" s="2259"/>
      <c r="AG157" s="2259"/>
      <c r="AH157" s="2259"/>
      <c r="AI157" s="2259"/>
      <c r="AJ157" s="2259"/>
      <c r="AK157" s="2259"/>
      <c r="AL157" s="2259"/>
      <c r="AM157" s="2259"/>
      <c r="AN157" s="2259"/>
      <c r="AO157" s="2259"/>
      <c r="AP157" s="2259"/>
      <c r="AQ157" s="2259"/>
      <c r="AR157" s="2259"/>
      <c r="AS157" s="2259"/>
      <c r="AT157" s="2260"/>
      <c r="AU157" s="1274" t="s">
        <v>551</v>
      </c>
      <c r="AV157" s="1658"/>
      <c r="AW157" s="1640"/>
      <c r="AX157" s="1640" t="str">
        <f>IF(T157="","",T157)</f>
        <v>Территория действия тарифа</v>
      </c>
      <c r="AY157" s="1640"/>
      <c r="AZ157" s="1640"/>
      <c r="BA157" s="1651">
        <v>0</v>
      </c>
    </row>
    <row s="1866" customFormat="1" customHeight="1" ht="22.5">
      <c r="A158" s="1379"/>
      <c r="B158" s="1379"/>
      <c r="C158" s="1379" t="s">
        <v>297</v>
      </c>
      <c r="D158" s="1379"/>
      <c r="E158" s="2275"/>
      <c r="F158" s="2275" t="s">
        <v>28</v>
      </c>
      <c r="G158" s="2274">
        <v>1</v>
      </c>
      <c r="H158" s="1379"/>
      <c r="I158" s="1379"/>
      <c r="J158" s="1379"/>
      <c r="K158" s="1379"/>
      <c r="L158" s="1385"/>
      <c r="M158" s="1381"/>
      <c r="N158" s="1381"/>
      <c r="O158" s="1381"/>
      <c r="P158" s="1428"/>
      <c r="Q158" s="1427"/>
      <c r="R158" s="369"/>
      <c r="S158" s="2289" t="str">
        <f>INDEX(PT_DIFFERENTIATION_NUM_CS,MATCH(C158,PT_DIFFERENTIATION_CS_ID,0))</f>
        <v>1.8.1</v>
      </c>
      <c r="T158" s="325" t="s">
        <v>552</v>
      </c>
      <c r="U158" s="316"/>
      <c r="V158" s="2259"/>
      <c r="W158" s="2259"/>
      <c r="X158" s="2259"/>
      <c r="Y158" s="2259"/>
      <c r="Z158" s="2259"/>
      <c r="AA158" s="2260"/>
      <c r="AB158" s="2258" t="str">
        <f>INDEX(PT_DIFFERENTIATION_CS,MATCH(C158,PT_DIFFERENTIATION_CS_ID,0))</f>
        <v>г.Лесозаводск, Лесозаволской муниципальный округ</v>
      </c>
      <c r="AC158" s="2259"/>
      <c r="AD158" s="2259"/>
      <c r="AE158" s="2259"/>
      <c r="AF158" s="2259"/>
      <c r="AG158" s="2259"/>
      <c r="AH158" s="2259"/>
      <c r="AI158" s="2259"/>
      <c r="AJ158" s="2259"/>
      <c r="AK158" s="2259"/>
      <c r="AL158" s="2259"/>
      <c r="AM158" s="2259"/>
      <c r="AN158" s="2259"/>
      <c r="AO158" s="2259"/>
      <c r="AP158" s="2259"/>
      <c r="AQ158" s="2259"/>
      <c r="AR158" s="2259"/>
      <c r="AS158" s="2259"/>
      <c r="AT158" s="2260"/>
      <c r="AU158" s="1274" t="s">
        <v>553</v>
      </c>
      <c r="AV158" s="1658"/>
      <c r="AW158" s="1640"/>
      <c r="AX158" s="1640" t="str">
        <f>IF(T158="","",T158)</f>
        <v>Наименование системы теплоснабжения </v>
      </c>
      <c r="AY158" s="1640"/>
      <c r="AZ158" s="1640"/>
      <c r="BA158" s="1651">
        <v>0</v>
      </c>
    </row>
    <row s="1866" customFormat="1" customHeight="1" ht="21">
      <c r="A159" s="1379"/>
      <c r="B159" s="1379"/>
      <c r="C159" s="1379"/>
      <c r="D159" s="1379" t="s">
        <v>298</v>
      </c>
      <c r="E159" s="2275"/>
      <c r="F159" s="2275" t="s">
        <v>28</v>
      </c>
      <c r="G159" s="2275"/>
      <c r="H159" s="2274">
        <v>1</v>
      </c>
      <c r="I159" s="1379"/>
      <c r="J159" s="1379"/>
      <c r="K159" s="1379"/>
      <c r="L159" s="1385"/>
      <c r="M159" s="1381"/>
      <c r="N159" s="1381"/>
      <c r="O159" s="1381"/>
      <c r="P159" s="1428"/>
      <c r="Q159" s="1427"/>
      <c r="R159" s="369"/>
      <c r="S159" s="2289" t="str">
        <f>INDEX(PT_DIFFERENTIATION_NUM_IST_TE,MATCH(D159,PT_DIFFERENTIATION_IST_TE_ID,0))</f>
        <v>1.8.1.1</v>
      </c>
      <c r="T159" s="326" t="s">
        <v>554</v>
      </c>
      <c r="U159" s="316"/>
      <c r="V159" s="2259"/>
      <c r="W159" s="2259"/>
      <c r="X159" s="2259"/>
      <c r="Y159" s="2259"/>
      <c r="Z159" s="2259"/>
      <c r="AA159" s="2260"/>
      <c r="AB159" s="2258" t="str">
        <f>INDEX(PT_DIFFERENTIATION_IST_TE,MATCH(D159,PT_DIFFERENTIATION_IST_TE_ID,0))</f>
        <v>без дифференциации</v>
      </c>
      <c r="AC159" s="2259"/>
      <c r="AD159" s="2259"/>
      <c r="AE159" s="2259"/>
      <c r="AF159" s="2259"/>
      <c r="AG159" s="2259"/>
      <c r="AH159" s="2259"/>
      <c r="AI159" s="2259"/>
      <c r="AJ159" s="2259"/>
      <c r="AK159" s="2259"/>
      <c r="AL159" s="2259"/>
      <c r="AM159" s="2259"/>
      <c r="AN159" s="2259"/>
      <c r="AO159" s="2259"/>
      <c r="AP159" s="2259"/>
      <c r="AQ159" s="2259"/>
      <c r="AR159" s="2259"/>
      <c r="AS159" s="2259"/>
      <c r="AT159" s="2260"/>
      <c r="AU159" s="1274" t="s">
        <v>555</v>
      </c>
      <c r="AV159" s="1658"/>
      <c r="AW159" s="1640"/>
      <c r="AX159" s="1640" t="str">
        <f>IF(T159="","",T159)</f>
        <v>Источник тепловой энергии  </v>
      </c>
      <c r="AY159" s="1640"/>
      <c r="AZ159" s="1640"/>
      <c r="BA159" s="1651">
        <v>0</v>
      </c>
    </row>
    <row s="638" customFormat="1" customHeight="1" ht="0.75">
      <c r="A160" s="1359"/>
      <c r="B160" s="1359"/>
      <c r="C160" s="1359"/>
      <c r="D160" s="1359"/>
      <c r="E160" s="2275"/>
      <c r="F160" s="2275" t="s">
        <v>28</v>
      </c>
      <c r="G160" s="2275"/>
      <c r="H160" s="2275"/>
      <c r="I160" s="2272" t="str">
        <f>S159&amp;".1"</f>
        <v>1.8.1.1.1</v>
      </c>
      <c r="J160" s="1359"/>
      <c r="K160" s="1359"/>
      <c r="L160" s="1561" t="s">
        <v>556</v>
      </c>
      <c r="M160" s="526"/>
      <c r="N160" s="526"/>
      <c r="O160" s="526"/>
      <c r="P160" s="2390">
        <v>1</v>
      </c>
      <c r="Q160" s="2390"/>
      <c r="R160" s="372"/>
      <c r="S160" s="2320"/>
      <c r="T160" s="1399"/>
      <c r="U160" s="1400"/>
      <c r="V160" s="2313"/>
      <c r="W160" s="2313"/>
      <c r="X160" s="2313"/>
      <c r="Y160" s="2313"/>
      <c r="Z160" s="2313"/>
      <c r="AA160" s="2314"/>
      <c r="AB160" s="2312"/>
      <c r="AC160" s="2313"/>
      <c r="AD160" s="2313"/>
      <c r="AE160" s="2313"/>
      <c r="AF160" s="2313"/>
      <c r="AG160" s="2313"/>
      <c r="AH160" s="2313"/>
      <c r="AI160" s="2313"/>
      <c r="AJ160" s="2313"/>
      <c r="AK160" s="2313"/>
      <c r="AL160" s="2313"/>
      <c r="AM160" s="2313"/>
      <c r="AN160" s="2313"/>
      <c r="AO160" s="2313"/>
      <c r="AP160" s="2313"/>
      <c r="AQ160" s="2313"/>
      <c r="AR160" s="2313"/>
      <c r="AS160" s="2313"/>
      <c r="AT160" s="2314"/>
      <c r="AU160" s="1401"/>
      <c r="AV160" s="1658"/>
      <c r="AW160" s="1640"/>
      <c r="AX160" s="1640" t="str">
        <f>IF(T160="","",T160)</f>
        <v/>
      </c>
      <c r="AY160" s="1640"/>
      <c r="AZ160" s="1640"/>
      <c r="BA160" s="1658">
        <v>0</v>
      </c>
    </row>
    <row s="638" customFormat="1" customHeight="1" ht="0.75">
      <c r="A161" s="1359"/>
      <c r="B161" s="1359"/>
      <c r="C161" s="1359"/>
      <c r="D161" s="1359"/>
      <c r="E161" s="2275"/>
      <c r="F161" s="2275" t="s">
        <v>28</v>
      </c>
      <c r="G161" s="2275"/>
      <c r="H161" s="2275"/>
      <c r="I161" s="2302"/>
      <c r="J161" s="2272" t="str">
        <f>S159&amp;".1"</f>
        <v>1.8.1.1.1</v>
      </c>
      <c r="K161" s="1359"/>
      <c r="L161" s="1561"/>
      <c r="M161" s="526"/>
      <c r="N161" s="526"/>
      <c r="O161" s="526"/>
      <c r="P161" s="2390"/>
      <c r="Q161" s="2390">
        <v>1</v>
      </c>
      <c r="R161" s="373"/>
      <c r="S161" s="2320"/>
      <c r="T161" s="1415"/>
      <c r="U161" s="1400"/>
      <c r="V161" s="2313"/>
      <c r="W161" s="2313"/>
      <c r="X161" s="2313"/>
      <c r="Y161" s="2313"/>
      <c r="Z161" s="2313"/>
      <c r="AA161" s="2314"/>
      <c r="AB161" s="2312"/>
      <c r="AC161" s="2313"/>
      <c r="AD161" s="2313"/>
      <c r="AE161" s="2313"/>
      <c r="AF161" s="2313"/>
      <c r="AG161" s="2313"/>
      <c r="AH161" s="2313"/>
      <c r="AI161" s="2313"/>
      <c r="AJ161" s="2313"/>
      <c r="AK161" s="2313"/>
      <c r="AL161" s="2313"/>
      <c r="AM161" s="2313"/>
      <c r="AN161" s="2313"/>
      <c r="AO161" s="2313"/>
      <c r="AP161" s="2313"/>
      <c r="AQ161" s="2313"/>
      <c r="AR161" s="2313"/>
      <c r="AS161" s="2313"/>
      <c r="AT161" s="2314"/>
      <c r="AU161" s="1401"/>
      <c r="AV161" s="1658"/>
      <c r="AW161" s="1640"/>
      <c r="AX161" s="1640" t="str">
        <f>IF(T161="","",T161)</f>
        <v/>
      </c>
      <c r="AY161" s="1640"/>
      <c r="AZ161" s="1640"/>
      <c r="BA161" s="1658">
        <v>0</v>
      </c>
    </row>
    <row s="1866" customFormat="1" customHeight="1" ht="21">
      <c r="A162" s="1379"/>
      <c r="B162" s="1379"/>
      <c r="C162" s="1379"/>
      <c r="D162" s="1379"/>
      <c r="E162" s="2275"/>
      <c r="F162" s="2275" t="s">
        <v>28</v>
      </c>
      <c r="G162" s="2275"/>
      <c r="H162" s="2275"/>
      <c r="I162" s="2302"/>
      <c r="J162" s="2302"/>
      <c r="K162" s="2272" t="str">
        <f>S159&amp;".1"</f>
        <v>1.8.1.1.1</v>
      </c>
      <c r="L162" s="1385"/>
      <c r="M162" s="1792"/>
      <c r="N162" s="1792"/>
      <c r="O162" s="1792"/>
      <c r="P162" s="2390"/>
      <c r="Q162" s="2390"/>
      <c r="R162" s="2363">
        <v>1</v>
      </c>
      <c r="S162" s="2357" t="str">
        <f>$K162</f>
        <v>1.8.1.1.1</v>
      </c>
      <c r="T162" s="2360" t="s">
        <v>630</v>
      </c>
      <c r="U162" s="316"/>
      <c r="V162" s="767"/>
      <c r="W162" s="1273"/>
      <c r="X162" s="2618"/>
      <c r="Y162" s="2123" t="s">
        <v>64</v>
      </c>
      <c r="Z162" s="2618"/>
      <c r="AA162" s="2123" t="s">
        <v>64</v>
      </c>
      <c r="AB162" s="2123" t="s">
        <v>19</v>
      </c>
      <c r="AC162" s="2342"/>
      <c r="AD162" s="2453">
        <v>1</v>
      </c>
      <c r="AE162" s="2364" t="s">
        <v>28</v>
      </c>
      <c r="AF162" s="2123" t="s">
        <v>19</v>
      </c>
      <c r="AG162" s="2342"/>
      <c r="AH162" s="2453">
        <v>1</v>
      </c>
      <c r="AI162" s="2364" t="s">
        <v>28</v>
      </c>
      <c r="AJ162" s="2123" t="s">
        <v>19</v>
      </c>
      <c r="AK162" s="327"/>
      <c r="AL162" s="2453">
        <v>1</v>
      </c>
      <c r="AM162" s="1540" t="s">
        <v>28</v>
      </c>
      <c r="AN162" s="767"/>
      <c r="AO162" s="1273">
        <v>218.821</v>
      </c>
      <c r="AP162" s="2618">
        <v>45853</v>
      </c>
      <c r="AQ162" s="2123" t="s">
        <v>64</v>
      </c>
      <c r="AR162" s="2618">
        <v>46022</v>
      </c>
      <c r="AS162" s="2123" t="s">
        <v>64</v>
      </c>
      <c r="AT162" s="1364"/>
      <c r="AU162" s="2269" t="s">
        <v>613</v>
      </c>
      <c r="AV162" s="1658">
        <f>STRCHECKDATE(V165:AT165)</f>
      </c>
      <c r="AW162" s="1640"/>
      <c r="AX162" s="1640" t="str">
        <f>IF(T162="","",T162)</f>
        <v>Котельная</v>
      </c>
      <c r="AY162" s="1640"/>
      <c r="AZ162" s="1640"/>
      <c r="BA162" s="1651">
        <v>0</v>
      </c>
    </row>
    <row s="1866" customFormat="1" customHeight="1" ht="11.25">
      <c r="A163" s="1379"/>
      <c r="B163" s="1379"/>
      <c r="C163" s="1379"/>
      <c r="D163" s="1379"/>
      <c r="E163" s="2275"/>
      <c r="F163" s="2275" t="s">
        <v>28</v>
      </c>
      <c r="G163" s="2275"/>
      <c r="H163" s="2275"/>
      <c r="I163" s="2302"/>
      <c r="J163" s="2302"/>
      <c r="K163" s="2272"/>
      <c r="L163" s="1385"/>
      <c r="M163" s="1792"/>
      <c r="N163" s="1792"/>
      <c r="O163" s="1792"/>
      <c r="P163" s="2390"/>
      <c r="Q163" s="2390"/>
      <c r="R163" s="2363"/>
      <c r="S163" s="2358"/>
      <c r="T163" s="2361"/>
      <c r="U163" s="316"/>
      <c r="V163" s="3541"/>
      <c r="W163" s="3542"/>
      <c r="X163" s="2618"/>
      <c r="Y163" s="2123"/>
      <c r="Z163" s="2618"/>
      <c r="AA163" s="2123"/>
      <c r="AB163" s="2123"/>
      <c r="AC163" s="2342"/>
      <c r="AD163" s="2453"/>
      <c r="AE163" s="2364" t="s">
        <v>28</v>
      </c>
      <c r="AF163" s="2123"/>
      <c r="AG163" s="2342"/>
      <c r="AH163" s="2453"/>
      <c r="AI163" s="2364" t="s">
        <v>28</v>
      </c>
      <c r="AJ163" s="2123"/>
      <c r="AK163" s="3543"/>
      <c r="AL163" s="3544"/>
      <c r="AM163" s="3545" t="s">
        <v>614</v>
      </c>
      <c r="AN163" s="3546"/>
      <c r="AO163" s="3547"/>
      <c r="AP163" s="3548"/>
      <c r="AQ163" s="3549"/>
      <c r="AR163" s="3550"/>
      <c r="AS163" s="3551"/>
      <c r="AT163" s="1406"/>
      <c r="AU163" s="2270"/>
      <c r="AV163" s="1658"/>
      <c r="AW163" s="1640"/>
      <c r="AX163" s="1640"/>
      <c r="AY163" s="1640"/>
      <c r="AZ163" s="1640"/>
      <c r="BA163" s="1651">
        <v>0</v>
      </c>
    </row>
    <row s="1866" customFormat="1" customHeight="1" ht="11.25">
      <c r="A164" s="1379"/>
      <c r="B164" s="1379"/>
      <c r="C164" s="1379"/>
      <c r="D164" s="1379"/>
      <c r="E164" s="2275"/>
      <c r="F164" s="2275" t="s">
        <v>28</v>
      </c>
      <c r="G164" s="2275"/>
      <c r="H164" s="2275"/>
      <c r="I164" s="2302"/>
      <c r="J164" s="2302"/>
      <c r="K164" s="2272"/>
      <c r="L164" s="1385"/>
      <c r="M164" s="1792"/>
      <c r="N164" s="1792"/>
      <c r="O164" s="1792"/>
      <c r="P164" s="2390"/>
      <c r="Q164" s="2390"/>
      <c r="R164" s="2363"/>
      <c r="S164" s="2358"/>
      <c r="T164" s="2361"/>
      <c r="U164" s="316"/>
      <c r="V164" s="3552"/>
      <c r="W164" s="3553"/>
      <c r="X164" s="2618"/>
      <c r="Y164" s="2123"/>
      <c r="Z164" s="2618"/>
      <c r="AA164" s="2123"/>
      <c r="AB164" s="2123"/>
      <c r="AC164" s="2342"/>
      <c r="AD164" s="2453"/>
      <c r="AE164" s="2364" t="s">
        <v>28</v>
      </c>
      <c r="AF164" s="2123"/>
      <c r="AG164" s="3554"/>
      <c r="AH164" s="3555"/>
      <c r="AI164" s="3556" t="s">
        <v>615</v>
      </c>
      <c r="AJ164" s="3557"/>
      <c r="AK164" s="3558"/>
      <c r="AL164" s="3559"/>
      <c r="AM164" s="3560"/>
      <c r="AN164" s="3561"/>
      <c r="AO164" s="3562"/>
      <c r="AP164" s="3563"/>
      <c r="AQ164" s="3564"/>
      <c r="AR164" s="3565"/>
      <c r="AS164" s="3566"/>
      <c r="AT164" s="1406"/>
      <c r="AU164" s="2270"/>
      <c r="AV164" s="1658"/>
      <c r="AW164" s="1640"/>
      <c r="AX164" s="1640"/>
      <c r="AY164" s="1640"/>
      <c r="AZ164" s="1640"/>
      <c r="BA164" s="1651">
        <v>0</v>
      </c>
    </row>
    <row s="1866" customFormat="1" customHeight="1" ht="11.25">
      <c r="A165" s="1379"/>
      <c r="B165" s="1379"/>
      <c r="C165" s="1379"/>
      <c r="D165" s="1379"/>
      <c r="E165" s="2275"/>
      <c r="F165" s="2275" t="s">
        <v>28</v>
      </c>
      <c r="G165" s="2275"/>
      <c r="H165" s="2275"/>
      <c r="I165" s="2302"/>
      <c r="J165" s="2302"/>
      <c r="K165" s="2272"/>
      <c r="L165" s="1385"/>
      <c r="M165" s="1792"/>
      <c r="N165" s="1792"/>
      <c r="O165" s="1792"/>
      <c r="P165" s="2390"/>
      <c r="Q165" s="2390"/>
      <c r="R165" s="2363"/>
      <c r="S165" s="2359"/>
      <c r="T165" s="2362"/>
      <c r="U165" s="316"/>
      <c r="V165" s="3567"/>
      <c r="W165" s="3568" t="str">
        <f>X162&amp;"-"&amp;Z162</f>
        <v>-</v>
      </c>
      <c r="X165" s="2325"/>
      <c r="Y165" s="2123"/>
      <c r="Z165" s="2325"/>
      <c r="AA165" s="2123"/>
      <c r="AB165" s="2123"/>
      <c r="AC165" s="3569"/>
      <c r="AD165" s="3570"/>
      <c r="AE165" s="3571" t="s">
        <v>616</v>
      </c>
      <c r="AF165" s="3572"/>
      <c r="AG165" s="3573"/>
      <c r="AH165" s="3574"/>
      <c r="AI165" s="3575"/>
      <c r="AJ165" s="3576"/>
      <c r="AK165" s="3577"/>
      <c r="AL165" s="3578"/>
      <c r="AM165" s="3579"/>
      <c r="AN165" s="3580"/>
      <c r="AO165" s="3581" t="str">
        <f>AP162&amp;"-"&amp;AR162</f>
        <v>45853-46022</v>
      </c>
      <c r="AP165" s="3582"/>
      <c r="AQ165" s="3583"/>
      <c r="AR165" s="3584"/>
      <c r="AS165" s="3585"/>
      <c r="AT165" s="1365"/>
      <c r="AU165" s="2270"/>
      <c r="AV165" s="1658"/>
      <c r="AW165" s="1640"/>
      <c r="AX165" s="1640" t="str">
        <f>IF(T165="","",T165)</f>
        <v/>
      </c>
      <c r="AY165" s="1640"/>
      <c r="AZ165" s="1640"/>
      <c r="BA165" s="1651">
        <v>0</v>
      </c>
    </row>
    <row s="1866" customFormat="1" customHeight="1" ht="11.25">
      <c r="A166" s="1379"/>
      <c r="B166" s="1379"/>
      <c r="C166" s="1379"/>
      <c r="D166" s="1379"/>
      <c r="E166" s="2275"/>
      <c r="F166" s="2275" t="s">
        <v>28</v>
      </c>
      <c r="G166" s="2275"/>
      <c r="H166" s="2275"/>
      <c r="I166" s="2302"/>
      <c r="J166" s="2272"/>
      <c r="K166" s="1379"/>
      <c r="L166" s="1385"/>
      <c r="M166" s="1792"/>
      <c r="N166" s="1792"/>
      <c r="O166" s="1792"/>
      <c r="P166" s="2390"/>
      <c r="Q166" s="2390"/>
      <c r="R166" s="372"/>
      <c r="S166" s="3586"/>
      <c r="T166" s="3587" t="s">
        <v>617</v>
      </c>
      <c r="U166" s="3588"/>
      <c r="V166" s="3589"/>
      <c r="W166" s="3590"/>
      <c r="X166" s="3591"/>
      <c r="Y166" s="3592"/>
      <c r="Z166" s="3593"/>
      <c r="AA166" s="3594"/>
      <c r="AB166" s="3595"/>
      <c r="AC166" s="3596"/>
      <c r="AD166" s="3597"/>
      <c r="AE166" s="3598"/>
      <c r="AF166" s="3599"/>
      <c r="AG166" s="3600"/>
      <c r="AH166" s="3601"/>
      <c r="AI166" s="3602"/>
      <c r="AJ166" s="3603"/>
      <c r="AK166" s="3604"/>
      <c r="AL166" s="3605"/>
      <c r="AM166" s="3606"/>
      <c r="AN166" s="3607"/>
      <c r="AO166" s="3608"/>
      <c r="AP166" s="3609"/>
      <c r="AQ166" s="3610"/>
      <c r="AR166" s="3611"/>
      <c r="AS166" s="3612"/>
      <c r="AT166" s="3613"/>
      <c r="AU166" s="2271"/>
      <c r="AV166" s="1658"/>
      <c r="AW166" s="1640"/>
      <c r="AX166" s="1640" t="str">
        <f>IF(T166="","",T166)</f>
        <v>Добавить строку</v>
      </c>
      <c r="AY166" s="1640"/>
      <c r="AZ166" s="1640"/>
      <c r="BA166" s="1651">
        <v>0</v>
      </c>
    </row>
    <row s="638" customFormat="1" customHeight="1" ht="0.75">
      <c r="A167" s="1359"/>
      <c r="B167" s="1359"/>
      <c r="C167" s="1359"/>
      <c r="D167" s="1359"/>
      <c r="E167" s="2275"/>
      <c r="F167" s="2275" t="s">
        <v>28</v>
      </c>
      <c r="G167" s="2275"/>
      <c r="H167" s="2275"/>
      <c r="I167" s="2272"/>
      <c r="J167" s="1359"/>
      <c r="K167" s="1359"/>
      <c r="L167" s="1561"/>
      <c r="M167" s="526"/>
      <c r="N167" s="526"/>
      <c r="O167" s="526"/>
      <c r="P167" s="2390"/>
      <c r="Q167" s="2390"/>
      <c r="R167" s="372"/>
      <c r="S167" s="1402"/>
      <c r="T167" s="1403"/>
      <c r="U167" s="1404"/>
      <c r="V167" s="1404"/>
      <c r="W167" s="1404"/>
      <c r="X167" s="1404"/>
      <c r="Y167" s="1404"/>
      <c r="Z167" s="1404"/>
      <c r="AA167" s="1404"/>
      <c r="AB167" s="1404"/>
      <c r="AC167" s="1404"/>
      <c r="AD167" s="1404"/>
      <c r="AE167" s="1404"/>
      <c r="AF167" s="1404"/>
      <c r="AG167" s="1404"/>
      <c r="AH167" s="1404"/>
      <c r="AI167" s="1404"/>
      <c r="AJ167" s="1404"/>
      <c r="AK167" s="1404"/>
      <c r="AL167" s="1404"/>
      <c r="AM167" s="1404"/>
      <c r="AN167" s="1404"/>
      <c r="AO167" s="1404"/>
      <c r="AP167" s="1404"/>
      <c r="AQ167" s="1404"/>
      <c r="AR167" s="1404"/>
      <c r="AS167" s="1404"/>
      <c r="AT167" s="1404"/>
      <c r="AU167" s="1405"/>
      <c r="AV167" s="1658"/>
      <c r="AW167" s="1640"/>
      <c r="AX167" s="1640" t="str">
        <f>IF(T167="","",T167)</f>
        <v/>
      </c>
      <c r="AY167" s="1640"/>
      <c r="AZ167" s="1640"/>
      <c r="BA167" s="1658">
        <v>0</v>
      </c>
    </row>
    <row s="638" customFormat="1" customHeight="1" ht="0.75">
      <c r="A168" s="1359"/>
      <c r="B168" s="1359"/>
      <c r="C168" s="1359"/>
      <c r="D168" s="1359"/>
      <c r="E168" s="2275"/>
      <c r="F168" s="2275" t="s">
        <v>28</v>
      </c>
      <c r="G168" s="2275"/>
      <c r="H168" s="2274"/>
      <c r="I168" s="1359"/>
      <c r="J168" s="1359"/>
      <c r="K168" s="1359"/>
      <c r="L168" s="1561"/>
      <c r="M168" s="1331"/>
      <c r="N168" s="1331"/>
      <c r="O168" s="1658"/>
      <c r="P168" s="1332"/>
      <c r="Q168" s="1360"/>
      <c r="R168" s="1417"/>
      <c r="S168" s="1402"/>
      <c r="T168" s="1403"/>
      <c r="U168" s="1404"/>
      <c r="V168" s="1404"/>
      <c r="W168" s="1404"/>
      <c r="X168" s="1404"/>
      <c r="Y168" s="1404"/>
      <c r="Z168" s="1404"/>
      <c r="AA168" s="1404"/>
      <c r="AB168" s="1404"/>
      <c r="AC168" s="1404"/>
      <c r="AD168" s="1404"/>
      <c r="AE168" s="1404"/>
      <c r="AF168" s="1404"/>
      <c r="AG168" s="1404"/>
      <c r="AH168" s="1404"/>
      <c r="AI168" s="1404"/>
      <c r="AJ168" s="1404"/>
      <c r="AK168" s="1404"/>
      <c r="AL168" s="1404"/>
      <c r="AM168" s="1404"/>
      <c r="AN168" s="1404"/>
      <c r="AO168" s="1404"/>
      <c r="AP168" s="1404"/>
      <c r="AQ168" s="1404"/>
      <c r="AR168" s="1404"/>
      <c r="AS168" s="1404"/>
      <c r="AT168" s="1404"/>
      <c r="AU168" s="1405"/>
      <c r="AV168" s="1658"/>
      <c r="AW168" s="1640"/>
      <c r="AX168" s="1640" t="str">
        <f>IF(T168="","",T168)</f>
        <v/>
      </c>
      <c r="AY168" s="1640"/>
      <c r="AZ168" s="1640"/>
      <c r="BA168" s="1658">
        <v>0</v>
      </c>
    </row>
    <row s="638" customFormat="1" customHeight="1" ht="0.75">
      <c r="A169" s="1359"/>
      <c r="B169" s="1359"/>
      <c r="C169" s="1359"/>
      <c r="D169" s="1359"/>
      <c r="E169" s="2275"/>
      <c r="F169" s="2275" t="s">
        <v>28</v>
      </c>
      <c r="G169" s="2274"/>
      <c r="H169" s="1359"/>
      <c r="I169" s="1359"/>
      <c r="J169" s="1359"/>
      <c r="K169" s="1359"/>
      <c r="L169" s="1561"/>
      <c r="M169" s="1331"/>
      <c r="N169" s="1331"/>
      <c r="O169" s="1658"/>
      <c r="P169" s="1332"/>
      <c r="Q169" s="1360"/>
      <c r="R169" s="1332"/>
      <c r="S169" s="1338"/>
      <c r="T169" s="1341" t="s">
        <v>268</v>
      </c>
      <c r="U169" s="1340"/>
      <c r="V169" s="1340"/>
      <c r="W169" s="1340"/>
      <c r="X169" s="1340"/>
      <c r="Y169" s="1340"/>
      <c r="Z169" s="1340"/>
      <c r="AA169" s="1340"/>
      <c r="AB169" s="1340"/>
      <c r="AC169" s="1340"/>
      <c r="AD169" s="1340"/>
      <c r="AE169" s="1340"/>
      <c r="AF169" s="1340"/>
      <c r="AG169" s="1340"/>
      <c r="AH169" s="1340"/>
      <c r="AI169" s="1340"/>
      <c r="AJ169" s="1340"/>
      <c r="AK169" s="1340"/>
      <c r="AL169" s="1340"/>
      <c r="AM169" s="1340"/>
      <c r="AN169" s="1340"/>
      <c r="AO169" s="1340"/>
      <c r="AP169" s="1340"/>
      <c r="AQ169" s="1340"/>
      <c r="AR169" s="1340"/>
      <c r="AS169" s="1340"/>
      <c r="AT169" s="1340"/>
      <c r="AU169" s="1340"/>
      <c r="AV169" s="1658"/>
      <c r="AW169" s="1640"/>
      <c r="AX169" s="1640" t="str">
        <f>IF(T169="","",T169)</f>
        <v>Добавить источник для дифференциации</v>
      </c>
      <c r="AY169" s="1640"/>
      <c r="AZ169" s="1640"/>
      <c r="BA169" s="1658">
        <v>0</v>
      </c>
    </row>
    <row s="638" customFormat="1" customHeight="1" ht="0.75">
      <c r="A170" s="1359"/>
      <c r="B170" s="1359"/>
      <c r="C170" s="1359"/>
      <c r="D170" s="1359"/>
      <c r="E170" s="2275"/>
      <c r="F170" s="2274" t="s">
        <v>28</v>
      </c>
      <c r="G170" s="1359"/>
      <c r="H170" s="1359"/>
      <c r="I170" s="1359"/>
      <c r="J170" s="1359"/>
      <c r="K170" s="1359"/>
      <c r="L170" s="1561"/>
      <c r="M170" s="1337"/>
      <c r="N170" s="1337"/>
      <c r="O170" s="1658"/>
      <c r="P170" s="1332"/>
      <c r="Q170" s="1360"/>
      <c r="R170" s="1332"/>
      <c r="S170" s="1338"/>
      <c r="T170" s="1341" t="s">
        <v>269</v>
      </c>
      <c r="U170" s="1340"/>
      <c r="V170" s="1340"/>
      <c r="W170" s="1340"/>
      <c r="X170" s="1340"/>
      <c r="Y170" s="1340"/>
      <c r="Z170" s="1340"/>
      <c r="AA170" s="1340"/>
      <c r="AB170" s="1340"/>
      <c r="AC170" s="1340"/>
      <c r="AD170" s="1340"/>
      <c r="AE170" s="1340"/>
      <c r="AF170" s="1340"/>
      <c r="AG170" s="1340"/>
      <c r="AH170" s="1340"/>
      <c r="AI170" s="1340"/>
      <c r="AJ170" s="1340"/>
      <c r="AK170" s="1340"/>
      <c r="AL170" s="1340"/>
      <c r="AM170" s="1340"/>
      <c r="AN170" s="1340"/>
      <c r="AO170" s="1340"/>
      <c r="AP170" s="1340"/>
      <c r="AQ170" s="1340"/>
      <c r="AR170" s="1340"/>
      <c r="AS170" s="1340"/>
      <c r="AT170" s="1340"/>
      <c r="AU170" s="1340"/>
      <c r="AV170" s="1658"/>
      <c r="AW170" s="1640"/>
      <c r="AX170" s="1640" t="str">
        <f>IF(T170="","",T170)</f>
        <v>Добавить централизованную систему для дифференциации</v>
      </c>
      <c r="AY170" s="1640"/>
      <c r="AZ170" s="1640"/>
      <c r="BA170" s="1658">
        <v>0</v>
      </c>
    </row>
    <row s="1866" customFormat="1" customHeight="1" ht="21">
      <c r="A171" s="1379"/>
      <c r="B171" s="1379" t="s">
        <v>300</v>
      </c>
      <c r="C171" s="1379"/>
      <c r="D171" s="1379"/>
      <c r="E171" s="2275"/>
      <c r="F171" s="2274" t="s">
        <v>28</v>
      </c>
      <c r="G171" s="1379"/>
      <c r="H171" s="1379"/>
      <c r="I171" s="1379"/>
      <c r="J171" s="1379"/>
      <c r="K171" s="1379"/>
      <c r="L171" s="1385"/>
      <c r="M171" s="1381"/>
      <c r="N171" s="1381"/>
      <c r="O171" s="1381"/>
      <c r="P171" s="2623"/>
      <c r="Q171" s="1427"/>
      <c r="R171" s="369"/>
      <c r="S171" s="2289" t="str">
        <f>INDEX(PT_DIFFERENTIATION_NUM_TER,MATCH(B171,PT_DIFFERENTIATION_TER_ID,0))</f>
        <v>1.9</v>
      </c>
      <c r="T171" s="1538" t="s">
        <v>550</v>
      </c>
      <c r="U171" s="316"/>
      <c r="V171" s="2259"/>
      <c r="W171" s="2259"/>
      <c r="X171" s="2259"/>
      <c r="Y171" s="2259"/>
      <c r="Z171" s="2259"/>
      <c r="AA171" s="2260"/>
      <c r="AB171" s="2258" t="str">
        <f>INDEX(PT_DIFFERENTIATION_TER,MATCH(B171,PT_DIFFERENTIATION_TER_ID,0))</f>
        <v>Территория 9</v>
      </c>
      <c r="AC171" s="2259"/>
      <c r="AD171" s="2259"/>
      <c r="AE171" s="2259"/>
      <c r="AF171" s="2259"/>
      <c r="AG171" s="2259"/>
      <c r="AH171" s="2259"/>
      <c r="AI171" s="2259"/>
      <c r="AJ171" s="2259"/>
      <c r="AK171" s="2259"/>
      <c r="AL171" s="2259"/>
      <c r="AM171" s="2259"/>
      <c r="AN171" s="2259"/>
      <c r="AO171" s="2259"/>
      <c r="AP171" s="2259"/>
      <c r="AQ171" s="2259"/>
      <c r="AR171" s="2259"/>
      <c r="AS171" s="2259"/>
      <c r="AT171" s="2260"/>
      <c r="AU171" s="1274" t="s">
        <v>551</v>
      </c>
      <c r="AV171" s="1658"/>
      <c r="AW171" s="1640"/>
      <c r="AX171" s="1640" t="str">
        <f>IF(T171="","",T171)</f>
        <v>Территория действия тарифа</v>
      </c>
      <c r="AY171" s="1640"/>
      <c r="AZ171" s="1640"/>
      <c r="BA171" s="1651">
        <v>0</v>
      </c>
    </row>
    <row s="1866" customFormat="1" customHeight="1" ht="22.5">
      <c r="A172" s="1379"/>
      <c r="B172" s="1379"/>
      <c r="C172" s="1379" t="s">
        <v>301</v>
      </c>
      <c r="D172" s="1379"/>
      <c r="E172" s="2275"/>
      <c r="F172" s="2275" t="s">
        <v>28</v>
      </c>
      <c r="G172" s="2274">
        <v>1</v>
      </c>
      <c r="H172" s="1379"/>
      <c r="I172" s="1379"/>
      <c r="J172" s="1379"/>
      <c r="K172" s="1379"/>
      <c r="L172" s="1385"/>
      <c r="M172" s="1381"/>
      <c r="N172" s="1381"/>
      <c r="O172" s="1381"/>
      <c r="P172" s="1428"/>
      <c r="Q172" s="1427"/>
      <c r="R172" s="369"/>
      <c r="S172" s="2289" t="str">
        <f>INDEX(PT_DIFFERENTIATION_NUM_CS,MATCH(C172,PT_DIFFERENTIATION_CS_ID,0))</f>
        <v>1.9.1</v>
      </c>
      <c r="T172" s="325" t="s">
        <v>552</v>
      </c>
      <c r="U172" s="316"/>
      <c r="V172" s="2259"/>
      <c r="W172" s="2259"/>
      <c r="X172" s="2259"/>
      <c r="Y172" s="2259"/>
      <c r="Z172" s="2259"/>
      <c r="AA172" s="2260"/>
      <c r="AB172" s="2258" t="str">
        <f>INDEX(PT_DIFFERENTIATION_CS,MATCH(C172,PT_DIFFERENTIATION_CS_ID,0))</f>
        <v>с.Анучино, Анучинский муниципальный округ</v>
      </c>
      <c r="AC172" s="2259"/>
      <c r="AD172" s="2259"/>
      <c r="AE172" s="2259"/>
      <c r="AF172" s="2259"/>
      <c r="AG172" s="2259"/>
      <c r="AH172" s="2259"/>
      <c r="AI172" s="2259"/>
      <c r="AJ172" s="2259"/>
      <c r="AK172" s="2259"/>
      <c r="AL172" s="2259"/>
      <c r="AM172" s="2259"/>
      <c r="AN172" s="2259"/>
      <c r="AO172" s="2259"/>
      <c r="AP172" s="2259"/>
      <c r="AQ172" s="2259"/>
      <c r="AR172" s="2259"/>
      <c r="AS172" s="2259"/>
      <c r="AT172" s="2260"/>
      <c r="AU172" s="1274" t="s">
        <v>553</v>
      </c>
      <c r="AV172" s="1658"/>
      <c r="AW172" s="1640"/>
      <c r="AX172" s="1640" t="str">
        <f>IF(T172="","",T172)</f>
        <v>Наименование системы теплоснабжения </v>
      </c>
      <c r="AY172" s="1640"/>
      <c r="AZ172" s="1640"/>
      <c r="BA172" s="1651">
        <v>0</v>
      </c>
    </row>
    <row s="1866" customFormat="1" customHeight="1" ht="21">
      <c r="A173" s="1379"/>
      <c r="B173" s="1379"/>
      <c r="C173" s="1379"/>
      <c r="D173" s="1379" t="s">
        <v>302</v>
      </c>
      <c r="E173" s="2275"/>
      <c r="F173" s="2275" t="s">
        <v>28</v>
      </c>
      <c r="G173" s="2275"/>
      <c r="H173" s="2274">
        <v>1</v>
      </c>
      <c r="I173" s="1379"/>
      <c r="J173" s="1379"/>
      <c r="K173" s="1379"/>
      <c r="L173" s="1385"/>
      <c r="M173" s="1381"/>
      <c r="N173" s="1381"/>
      <c r="O173" s="1381"/>
      <c r="P173" s="1428"/>
      <c r="Q173" s="1427"/>
      <c r="R173" s="369"/>
      <c r="S173" s="2289" t="str">
        <f>INDEX(PT_DIFFERENTIATION_NUM_IST_TE,MATCH(D173,PT_DIFFERENTIATION_IST_TE_ID,0))</f>
        <v>1.9.1.1</v>
      </c>
      <c r="T173" s="326" t="s">
        <v>554</v>
      </c>
      <c r="U173" s="316"/>
      <c r="V173" s="2259"/>
      <c r="W173" s="2259"/>
      <c r="X173" s="2259"/>
      <c r="Y173" s="2259"/>
      <c r="Z173" s="2259"/>
      <c r="AA173" s="2260"/>
      <c r="AB173" s="2258" t="str">
        <f>INDEX(PT_DIFFERENTIATION_IST_TE,MATCH(D173,PT_DIFFERENTIATION_IST_TE_ID,0))</f>
        <v>без дифференциации</v>
      </c>
      <c r="AC173" s="2259"/>
      <c r="AD173" s="2259"/>
      <c r="AE173" s="2259"/>
      <c r="AF173" s="2259"/>
      <c r="AG173" s="2259"/>
      <c r="AH173" s="2259"/>
      <c r="AI173" s="2259"/>
      <c r="AJ173" s="2259"/>
      <c r="AK173" s="2259"/>
      <c r="AL173" s="2259"/>
      <c r="AM173" s="2259"/>
      <c r="AN173" s="2259"/>
      <c r="AO173" s="2259"/>
      <c r="AP173" s="2259"/>
      <c r="AQ173" s="2259"/>
      <c r="AR173" s="2259"/>
      <c r="AS173" s="2259"/>
      <c r="AT173" s="2260"/>
      <c r="AU173" s="1274" t="s">
        <v>555</v>
      </c>
      <c r="AV173" s="1658"/>
      <c r="AW173" s="1640"/>
      <c r="AX173" s="1640" t="str">
        <f>IF(T173="","",T173)</f>
        <v>Источник тепловой энергии  </v>
      </c>
      <c r="AY173" s="1640"/>
      <c r="AZ173" s="1640"/>
      <c r="BA173" s="1651">
        <v>0</v>
      </c>
    </row>
    <row s="638" customFormat="1" customHeight="1" ht="0.75">
      <c r="A174" s="1359"/>
      <c r="B174" s="1359"/>
      <c r="C174" s="1359"/>
      <c r="D174" s="1359"/>
      <c r="E174" s="2275"/>
      <c r="F174" s="2275" t="s">
        <v>28</v>
      </c>
      <c r="G174" s="2275"/>
      <c r="H174" s="2275"/>
      <c r="I174" s="2272" t="str">
        <f>S173&amp;".1"</f>
        <v>1.9.1.1.1</v>
      </c>
      <c r="J174" s="1359"/>
      <c r="K174" s="1359"/>
      <c r="L174" s="1561" t="s">
        <v>556</v>
      </c>
      <c r="M174" s="526"/>
      <c r="N174" s="526"/>
      <c r="O174" s="526"/>
      <c r="P174" s="2390">
        <v>1</v>
      </c>
      <c r="Q174" s="2390"/>
      <c r="R174" s="372"/>
      <c r="S174" s="2320"/>
      <c r="T174" s="1399"/>
      <c r="U174" s="1400"/>
      <c r="V174" s="2313"/>
      <c r="W174" s="2313"/>
      <c r="X174" s="2313"/>
      <c r="Y174" s="2313"/>
      <c r="Z174" s="2313"/>
      <c r="AA174" s="2314"/>
      <c r="AB174" s="2312"/>
      <c r="AC174" s="2313"/>
      <c r="AD174" s="2313"/>
      <c r="AE174" s="2313"/>
      <c r="AF174" s="2313"/>
      <c r="AG174" s="2313"/>
      <c r="AH174" s="2313"/>
      <c r="AI174" s="2313"/>
      <c r="AJ174" s="2313"/>
      <c r="AK174" s="2313"/>
      <c r="AL174" s="2313"/>
      <c r="AM174" s="2313"/>
      <c r="AN174" s="2313"/>
      <c r="AO174" s="2313"/>
      <c r="AP174" s="2313"/>
      <c r="AQ174" s="2313"/>
      <c r="AR174" s="2313"/>
      <c r="AS174" s="2313"/>
      <c r="AT174" s="2314"/>
      <c r="AU174" s="1401"/>
      <c r="AV174" s="1658"/>
      <c r="AW174" s="1640"/>
      <c r="AX174" s="1640" t="str">
        <f>IF(T174="","",T174)</f>
        <v/>
      </c>
      <c r="AY174" s="1640"/>
      <c r="AZ174" s="1640"/>
      <c r="BA174" s="1658">
        <v>0</v>
      </c>
    </row>
    <row s="638" customFormat="1" customHeight="1" ht="0.75">
      <c r="A175" s="1359"/>
      <c r="B175" s="1359"/>
      <c r="C175" s="1359"/>
      <c r="D175" s="1359"/>
      <c r="E175" s="2275"/>
      <c r="F175" s="2275" t="s">
        <v>28</v>
      </c>
      <c r="G175" s="2275"/>
      <c r="H175" s="2275"/>
      <c r="I175" s="2302"/>
      <c r="J175" s="2272" t="str">
        <f>S173&amp;".1"</f>
        <v>1.9.1.1.1</v>
      </c>
      <c r="K175" s="1359"/>
      <c r="L175" s="1561"/>
      <c r="M175" s="526"/>
      <c r="N175" s="526"/>
      <c r="O175" s="526"/>
      <c r="P175" s="2390"/>
      <c r="Q175" s="2390">
        <v>1</v>
      </c>
      <c r="R175" s="373"/>
      <c r="S175" s="2320"/>
      <c r="T175" s="1415"/>
      <c r="U175" s="1400"/>
      <c r="V175" s="2313"/>
      <c r="W175" s="2313"/>
      <c r="X175" s="2313"/>
      <c r="Y175" s="2313"/>
      <c r="Z175" s="2313"/>
      <c r="AA175" s="2314"/>
      <c r="AB175" s="2312"/>
      <c r="AC175" s="2313"/>
      <c r="AD175" s="2313"/>
      <c r="AE175" s="2313"/>
      <c r="AF175" s="2313"/>
      <c r="AG175" s="2313"/>
      <c r="AH175" s="2313"/>
      <c r="AI175" s="2313"/>
      <c r="AJ175" s="2313"/>
      <c r="AK175" s="2313"/>
      <c r="AL175" s="2313"/>
      <c r="AM175" s="2313"/>
      <c r="AN175" s="2313"/>
      <c r="AO175" s="2313"/>
      <c r="AP175" s="2313"/>
      <c r="AQ175" s="2313"/>
      <c r="AR175" s="2313"/>
      <c r="AS175" s="2313"/>
      <c r="AT175" s="2314"/>
      <c r="AU175" s="1401"/>
      <c r="AV175" s="1658"/>
      <c r="AW175" s="1640"/>
      <c r="AX175" s="1640" t="str">
        <f>IF(T175="","",T175)</f>
        <v/>
      </c>
      <c r="AY175" s="1640"/>
      <c r="AZ175" s="1640"/>
      <c r="BA175" s="1658">
        <v>0</v>
      </c>
    </row>
    <row s="1866" customFormat="1" customHeight="1" ht="21">
      <c r="A176" s="1379"/>
      <c r="B176" s="1379"/>
      <c r="C176" s="1379"/>
      <c r="D176" s="1379"/>
      <c r="E176" s="2275"/>
      <c r="F176" s="2275" t="s">
        <v>28</v>
      </c>
      <c r="G176" s="2275"/>
      <c r="H176" s="2275"/>
      <c r="I176" s="2302"/>
      <c r="J176" s="2302"/>
      <c r="K176" s="2272" t="str">
        <f>S173&amp;".1"</f>
        <v>1.9.1.1.1</v>
      </c>
      <c r="L176" s="1385"/>
      <c r="M176" s="1792"/>
      <c r="N176" s="1792"/>
      <c r="O176" s="1792"/>
      <c r="P176" s="2390"/>
      <c r="Q176" s="2390"/>
      <c r="R176" s="2363">
        <v>1</v>
      </c>
      <c r="S176" s="2357" t="str">
        <f>$K176</f>
        <v>1.9.1.1.1</v>
      </c>
      <c r="T176" s="2360" t="s">
        <v>630</v>
      </c>
      <c r="U176" s="316"/>
      <c r="V176" s="767"/>
      <c r="W176" s="1273"/>
      <c r="X176" s="2618"/>
      <c r="Y176" s="2123" t="s">
        <v>64</v>
      </c>
      <c r="Z176" s="2618"/>
      <c r="AA176" s="2123" t="s">
        <v>64</v>
      </c>
      <c r="AB176" s="2123" t="s">
        <v>19</v>
      </c>
      <c r="AC176" s="2342"/>
      <c r="AD176" s="2453">
        <v>1</v>
      </c>
      <c r="AE176" s="2364" t="s">
        <v>28</v>
      </c>
      <c r="AF176" s="2123" t="s">
        <v>19</v>
      </c>
      <c r="AG176" s="2342"/>
      <c r="AH176" s="2453">
        <v>1</v>
      </c>
      <c r="AI176" s="2364" t="s">
        <v>28</v>
      </c>
      <c r="AJ176" s="2123" t="s">
        <v>19</v>
      </c>
      <c r="AK176" s="327"/>
      <c r="AL176" s="2453">
        <v>1</v>
      </c>
      <c r="AM176" s="1540" t="s">
        <v>28</v>
      </c>
      <c r="AN176" s="767"/>
      <c r="AO176" s="1273">
        <v>70.61</v>
      </c>
      <c r="AP176" s="2618">
        <v>45853</v>
      </c>
      <c r="AQ176" s="2123" t="s">
        <v>64</v>
      </c>
      <c r="AR176" s="2618">
        <v>46022</v>
      </c>
      <c r="AS176" s="2123" t="s">
        <v>64</v>
      </c>
      <c r="AT176" s="1364"/>
      <c r="AU176" s="2269" t="s">
        <v>613</v>
      </c>
      <c r="AV176" s="1658">
        <f>STRCHECKDATE(V179:AT179)</f>
      </c>
      <c r="AW176" s="1640"/>
      <c r="AX176" s="1640" t="str">
        <f>IF(T176="","",T176)</f>
        <v>Котельная</v>
      </c>
      <c r="AY176" s="1640"/>
      <c r="AZ176" s="1640"/>
      <c r="BA176" s="1651">
        <v>0</v>
      </c>
    </row>
    <row s="1866" customFormat="1" customHeight="1" ht="11.25">
      <c r="A177" s="1379"/>
      <c r="B177" s="1379"/>
      <c r="C177" s="1379"/>
      <c r="D177" s="1379"/>
      <c r="E177" s="2275"/>
      <c r="F177" s="2275" t="s">
        <v>28</v>
      </c>
      <c r="G177" s="2275"/>
      <c r="H177" s="2275"/>
      <c r="I177" s="2302"/>
      <c r="J177" s="2302"/>
      <c r="K177" s="2272"/>
      <c r="L177" s="1385"/>
      <c r="M177" s="1792"/>
      <c r="N177" s="1792"/>
      <c r="O177" s="1792"/>
      <c r="P177" s="2390"/>
      <c r="Q177" s="2390"/>
      <c r="R177" s="2363"/>
      <c r="S177" s="2358"/>
      <c r="T177" s="2361"/>
      <c r="U177" s="316"/>
      <c r="V177" s="3614"/>
      <c r="W177" s="3615"/>
      <c r="X177" s="2618"/>
      <c r="Y177" s="2123"/>
      <c r="Z177" s="2618"/>
      <c r="AA177" s="2123"/>
      <c r="AB177" s="2123"/>
      <c r="AC177" s="2342"/>
      <c r="AD177" s="2453"/>
      <c r="AE177" s="2364" t="s">
        <v>28</v>
      </c>
      <c r="AF177" s="2123"/>
      <c r="AG177" s="2342"/>
      <c r="AH177" s="2453"/>
      <c r="AI177" s="2364" t="s">
        <v>28</v>
      </c>
      <c r="AJ177" s="2123"/>
      <c r="AK177" s="3616"/>
      <c r="AL177" s="3617"/>
      <c r="AM177" s="3618" t="s">
        <v>614</v>
      </c>
      <c r="AN177" s="3619"/>
      <c r="AO177" s="3620"/>
      <c r="AP177" s="3621"/>
      <c r="AQ177" s="3622"/>
      <c r="AR177" s="3623"/>
      <c r="AS177" s="3624"/>
      <c r="AT177" s="1406"/>
      <c r="AU177" s="2270"/>
      <c r="AV177" s="1658"/>
      <c r="AW177" s="1640"/>
      <c r="AX177" s="1640"/>
      <c r="AY177" s="1640"/>
      <c r="AZ177" s="1640"/>
      <c r="BA177" s="1651">
        <v>0</v>
      </c>
    </row>
    <row s="1866" customFormat="1" customHeight="1" ht="11.25">
      <c r="A178" s="1379"/>
      <c r="B178" s="1379"/>
      <c r="C178" s="1379"/>
      <c r="D178" s="1379"/>
      <c r="E178" s="2275"/>
      <c r="F178" s="2275" t="s">
        <v>28</v>
      </c>
      <c r="G178" s="2275"/>
      <c r="H178" s="2275"/>
      <c r="I178" s="2302"/>
      <c r="J178" s="2302"/>
      <c r="K178" s="2272"/>
      <c r="L178" s="1385"/>
      <c r="M178" s="1792"/>
      <c r="N178" s="1792"/>
      <c r="O178" s="1792"/>
      <c r="P178" s="2390"/>
      <c r="Q178" s="2390"/>
      <c r="R178" s="2363"/>
      <c r="S178" s="2358"/>
      <c r="T178" s="2361"/>
      <c r="U178" s="316"/>
      <c r="V178" s="3625"/>
      <c r="W178" s="3626"/>
      <c r="X178" s="2618"/>
      <c r="Y178" s="2123"/>
      <c r="Z178" s="2618"/>
      <c r="AA178" s="2123"/>
      <c r="AB178" s="2123"/>
      <c r="AC178" s="2342"/>
      <c r="AD178" s="2453"/>
      <c r="AE178" s="2364" t="s">
        <v>28</v>
      </c>
      <c r="AF178" s="2123"/>
      <c r="AG178" s="3627"/>
      <c r="AH178" s="3628"/>
      <c r="AI178" s="3629" t="s">
        <v>615</v>
      </c>
      <c r="AJ178" s="3630"/>
      <c r="AK178" s="3631"/>
      <c r="AL178" s="3632"/>
      <c r="AM178" s="3633"/>
      <c r="AN178" s="3634"/>
      <c r="AO178" s="3635"/>
      <c r="AP178" s="3636"/>
      <c r="AQ178" s="3637"/>
      <c r="AR178" s="3638"/>
      <c r="AS178" s="3639"/>
      <c r="AT178" s="1406"/>
      <c r="AU178" s="2270"/>
      <c r="AV178" s="1658"/>
      <c r="AW178" s="1640"/>
      <c r="AX178" s="1640"/>
      <c r="AY178" s="1640"/>
      <c r="AZ178" s="1640"/>
      <c r="BA178" s="1651">
        <v>0</v>
      </c>
    </row>
    <row s="1866" customFormat="1" customHeight="1" ht="11.25">
      <c r="A179" s="1379"/>
      <c r="B179" s="1379"/>
      <c r="C179" s="1379"/>
      <c r="D179" s="1379"/>
      <c r="E179" s="2275"/>
      <c r="F179" s="2275" t="s">
        <v>28</v>
      </c>
      <c r="G179" s="2275"/>
      <c r="H179" s="2275"/>
      <c r="I179" s="2302"/>
      <c r="J179" s="2302"/>
      <c r="K179" s="2272"/>
      <c r="L179" s="1385"/>
      <c r="M179" s="1792"/>
      <c r="N179" s="1792"/>
      <c r="O179" s="1792"/>
      <c r="P179" s="2390"/>
      <c r="Q179" s="2390"/>
      <c r="R179" s="2363"/>
      <c r="S179" s="2359"/>
      <c r="T179" s="2362"/>
      <c r="U179" s="316"/>
      <c r="V179" s="3640"/>
      <c r="W179" s="3641" t="str">
        <f>X176&amp;"-"&amp;Z176</f>
        <v>-</v>
      </c>
      <c r="X179" s="2325"/>
      <c r="Y179" s="2123"/>
      <c r="Z179" s="2325"/>
      <c r="AA179" s="2123"/>
      <c r="AB179" s="2123"/>
      <c r="AC179" s="3642"/>
      <c r="AD179" s="3643"/>
      <c r="AE179" s="3644" t="s">
        <v>616</v>
      </c>
      <c r="AF179" s="3645"/>
      <c r="AG179" s="3646"/>
      <c r="AH179" s="3647"/>
      <c r="AI179" s="3648"/>
      <c r="AJ179" s="3649"/>
      <c r="AK179" s="3650"/>
      <c r="AL179" s="3651"/>
      <c r="AM179" s="3652"/>
      <c r="AN179" s="3653"/>
      <c r="AO179" s="3654" t="str">
        <f>AP176&amp;"-"&amp;AR176</f>
        <v>45853-46022</v>
      </c>
      <c r="AP179" s="3655"/>
      <c r="AQ179" s="3656"/>
      <c r="AR179" s="3657"/>
      <c r="AS179" s="3658"/>
      <c r="AT179" s="1365"/>
      <c r="AU179" s="2270"/>
      <c r="AV179" s="1658"/>
      <c r="AW179" s="1640"/>
      <c r="AX179" s="1640" t="str">
        <f>IF(T179="","",T179)</f>
        <v/>
      </c>
      <c r="AY179" s="1640"/>
      <c r="AZ179" s="1640"/>
      <c r="BA179" s="1651">
        <v>0</v>
      </c>
    </row>
    <row s="1866" customFormat="1" customHeight="1" ht="11.25">
      <c r="A180" s="1379"/>
      <c r="B180" s="1379"/>
      <c r="C180" s="1379"/>
      <c r="D180" s="1379"/>
      <c r="E180" s="2275"/>
      <c r="F180" s="2275" t="s">
        <v>28</v>
      </c>
      <c r="G180" s="2275"/>
      <c r="H180" s="2275"/>
      <c r="I180" s="2302"/>
      <c r="J180" s="2272"/>
      <c r="K180" s="1379"/>
      <c r="L180" s="1385"/>
      <c r="M180" s="1792"/>
      <c r="N180" s="1792"/>
      <c r="O180" s="1792"/>
      <c r="P180" s="2390"/>
      <c r="Q180" s="2390"/>
      <c r="R180" s="372"/>
      <c r="S180" s="3659"/>
      <c r="T180" s="3660" t="s">
        <v>617</v>
      </c>
      <c r="U180" s="3661"/>
      <c r="V180" s="3662"/>
      <c r="W180" s="3663"/>
      <c r="X180" s="3664"/>
      <c r="Y180" s="3665"/>
      <c r="Z180" s="3666"/>
      <c r="AA180" s="3667"/>
      <c r="AB180" s="3668"/>
      <c r="AC180" s="3669"/>
      <c r="AD180" s="3670"/>
      <c r="AE180" s="3671"/>
      <c r="AF180" s="3672"/>
      <c r="AG180" s="3673"/>
      <c r="AH180" s="3674"/>
      <c r="AI180" s="3675"/>
      <c r="AJ180" s="3676"/>
      <c r="AK180" s="3677"/>
      <c r="AL180" s="3678"/>
      <c r="AM180" s="3679"/>
      <c r="AN180" s="3680"/>
      <c r="AO180" s="3681"/>
      <c r="AP180" s="3682"/>
      <c r="AQ180" s="3683"/>
      <c r="AR180" s="3684"/>
      <c r="AS180" s="3685"/>
      <c r="AT180" s="3686"/>
      <c r="AU180" s="2271"/>
      <c r="AV180" s="1658"/>
      <c r="AW180" s="1640"/>
      <c r="AX180" s="1640" t="str">
        <f>IF(T180="","",T180)</f>
        <v>Добавить строку</v>
      </c>
      <c r="AY180" s="1640"/>
      <c r="AZ180" s="1640"/>
      <c r="BA180" s="1651">
        <v>0</v>
      </c>
    </row>
    <row s="638" customFormat="1" customHeight="1" ht="0.75">
      <c r="A181" s="1359"/>
      <c r="B181" s="1359"/>
      <c r="C181" s="1359"/>
      <c r="D181" s="1359"/>
      <c r="E181" s="2275"/>
      <c r="F181" s="2275" t="s">
        <v>28</v>
      </c>
      <c r="G181" s="2275"/>
      <c r="H181" s="2275"/>
      <c r="I181" s="2272"/>
      <c r="J181" s="1359"/>
      <c r="K181" s="1359"/>
      <c r="L181" s="1561"/>
      <c r="M181" s="526"/>
      <c r="N181" s="526"/>
      <c r="O181" s="526"/>
      <c r="P181" s="2390"/>
      <c r="Q181" s="2390"/>
      <c r="R181" s="372"/>
      <c r="S181" s="1402"/>
      <c r="T181" s="1403"/>
      <c r="U181" s="1404"/>
      <c r="V181" s="1404"/>
      <c r="W181" s="1404"/>
      <c r="X181" s="1404"/>
      <c r="Y181" s="1404"/>
      <c r="Z181" s="1404"/>
      <c r="AA181" s="1404"/>
      <c r="AB181" s="1404"/>
      <c r="AC181" s="1404"/>
      <c r="AD181" s="1404"/>
      <c r="AE181" s="1404"/>
      <c r="AF181" s="1404"/>
      <c r="AG181" s="1404"/>
      <c r="AH181" s="1404"/>
      <c r="AI181" s="1404"/>
      <c r="AJ181" s="1404"/>
      <c r="AK181" s="1404"/>
      <c r="AL181" s="1404"/>
      <c r="AM181" s="1404"/>
      <c r="AN181" s="1404"/>
      <c r="AO181" s="1404"/>
      <c r="AP181" s="1404"/>
      <c r="AQ181" s="1404"/>
      <c r="AR181" s="1404"/>
      <c r="AS181" s="1404"/>
      <c r="AT181" s="1404"/>
      <c r="AU181" s="1405"/>
      <c r="AV181" s="1658"/>
      <c r="AW181" s="1640"/>
      <c r="AX181" s="1640" t="str">
        <f>IF(T181="","",T181)</f>
        <v/>
      </c>
      <c r="AY181" s="1640"/>
      <c r="AZ181" s="1640"/>
      <c r="BA181" s="1658">
        <v>0</v>
      </c>
    </row>
    <row s="638" customFormat="1" customHeight="1" ht="0.75">
      <c r="A182" s="1359"/>
      <c r="B182" s="1359"/>
      <c r="C182" s="1359"/>
      <c r="D182" s="1359"/>
      <c r="E182" s="2275"/>
      <c r="F182" s="2275" t="s">
        <v>28</v>
      </c>
      <c r="G182" s="2275"/>
      <c r="H182" s="2274"/>
      <c r="I182" s="1359"/>
      <c r="J182" s="1359"/>
      <c r="K182" s="1359"/>
      <c r="L182" s="1561"/>
      <c r="M182" s="1331"/>
      <c r="N182" s="1331"/>
      <c r="O182" s="1658"/>
      <c r="P182" s="1332"/>
      <c r="Q182" s="1360"/>
      <c r="R182" s="1417"/>
      <c r="S182" s="1402"/>
      <c r="T182" s="1403"/>
      <c r="U182" s="1404"/>
      <c r="V182" s="1404"/>
      <c r="W182" s="1404"/>
      <c r="X182" s="1404"/>
      <c r="Y182" s="1404"/>
      <c r="Z182" s="1404"/>
      <c r="AA182" s="1404"/>
      <c r="AB182" s="1404"/>
      <c r="AC182" s="1404"/>
      <c r="AD182" s="1404"/>
      <c r="AE182" s="1404"/>
      <c r="AF182" s="1404"/>
      <c r="AG182" s="1404"/>
      <c r="AH182" s="1404"/>
      <c r="AI182" s="1404"/>
      <c r="AJ182" s="1404"/>
      <c r="AK182" s="1404"/>
      <c r="AL182" s="1404"/>
      <c r="AM182" s="1404"/>
      <c r="AN182" s="1404"/>
      <c r="AO182" s="1404"/>
      <c r="AP182" s="1404"/>
      <c r="AQ182" s="1404"/>
      <c r="AR182" s="1404"/>
      <c r="AS182" s="1404"/>
      <c r="AT182" s="1404"/>
      <c r="AU182" s="1405"/>
      <c r="AV182" s="1658"/>
      <c r="AW182" s="1640"/>
      <c r="AX182" s="1640" t="str">
        <f>IF(T182="","",T182)</f>
        <v/>
      </c>
      <c r="AY182" s="1640"/>
      <c r="AZ182" s="1640"/>
      <c r="BA182" s="1658">
        <v>0</v>
      </c>
    </row>
    <row s="638" customFormat="1" customHeight="1" ht="0.75">
      <c r="A183" s="1359"/>
      <c r="B183" s="1359"/>
      <c r="C183" s="1359"/>
      <c r="D183" s="1359"/>
      <c r="E183" s="2275"/>
      <c r="F183" s="2275" t="s">
        <v>28</v>
      </c>
      <c r="G183" s="2274"/>
      <c r="H183" s="1359"/>
      <c r="I183" s="1359"/>
      <c r="J183" s="1359"/>
      <c r="K183" s="1359"/>
      <c r="L183" s="1561"/>
      <c r="M183" s="1331"/>
      <c r="N183" s="1331"/>
      <c r="O183" s="1658"/>
      <c r="P183" s="1332"/>
      <c r="Q183" s="1360"/>
      <c r="R183" s="1332"/>
      <c r="S183" s="1338"/>
      <c r="T183" s="1341" t="s">
        <v>268</v>
      </c>
      <c r="U183" s="1340"/>
      <c r="V183" s="1340"/>
      <c r="W183" s="1340"/>
      <c r="X183" s="1340"/>
      <c r="Y183" s="1340"/>
      <c r="Z183" s="1340"/>
      <c r="AA183" s="1340"/>
      <c r="AB183" s="1340"/>
      <c r="AC183" s="1340"/>
      <c r="AD183" s="1340"/>
      <c r="AE183" s="1340"/>
      <c r="AF183" s="1340"/>
      <c r="AG183" s="1340"/>
      <c r="AH183" s="1340"/>
      <c r="AI183" s="1340"/>
      <c r="AJ183" s="1340"/>
      <c r="AK183" s="1340"/>
      <c r="AL183" s="1340"/>
      <c r="AM183" s="1340"/>
      <c r="AN183" s="1340"/>
      <c r="AO183" s="1340"/>
      <c r="AP183" s="1340"/>
      <c r="AQ183" s="1340"/>
      <c r="AR183" s="1340"/>
      <c r="AS183" s="1340"/>
      <c r="AT183" s="1340"/>
      <c r="AU183" s="1340"/>
      <c r="AV183" s="1658"/>
      <c r="AW183" s="1640"/>
      <c r="AX183" s="1640" t="str">
        <f>IF(T183="","",T183)</f>
        <v>Добавить источник для дифференциации</v>
      </c>
      <c r="AY183" s="1640"/>
      <c r="AZ183" s="1640"/>
      <c r="BA183" s="1658">
        <v>0</v>
      </c>
    </row>
    <row s="638" customFormat="1" customHeight="1" ht="0.75">
      <c r="A184" s="1359"/>
      <c r="B184" s="1359"/>
      <c r="C184" s="1359"/>
      <c r="D184" s="1359"/>
      <c r="E184" s="2275"/>
      <c r="F184" s="2274" t="s">
        <v>28</v>
      </c>
      <c r="G184" s="1359"/>
      <c r="H184" s="1359"/>
      <c r="I184" s="1359"/>
      <c r="J184" s="1359"/>
      <c r="K184" s="1359"/>
      <c r="L184" s="1561"/>
      <c r="M184" s="1337"/>
      <c r="N184" s="1337"/>
      <c r="O184" s="1658"/>
      <c r="P184" s="1332"/>
      <c r="Q184" s="1360"/>
      <c r="R184" s="1332"/>
      <c r="S184" s="1338"/>
      <c r="T184" s="1341" t="s">
        <v>269</v>
      </c>
      <c r="U184" s="1340"/>
      <c r="V184" s="1340"/>
      <c r="W184" s="1340"/>
      <c r="X184" s="1340"/>
      <c r="Y184" s="1340"/>
      <c r="Z184" s="1340"/>
      <c r="AA184" s="1340"/>
      <c r="AB184" s="1340"/>
      <c r="AC184" s="1340"/>
      <c r="AD184" s="1340"/>
      <c r="AE184" s="1340"/>
      <c r="AF184" s="1340"/>
      <c r="AG184" s="1340"/>
      <c r="AH184" s="1340"/>
      <c r="AI184" s="1340"/>
      <c r="AJ184" s="1340"/>
      <c r="AK184" s="1340"/>
      <c r="AL184" s="1340"/>
      <c r="AM184" s="1340"/>
      <c r="AN184" s="1340"/>
      <c r="AO184" s="1340"/>
      <c r="AP184" s="1340"/>
      <c r="AQ184" s="1340"/>
      <c r="AR184" s="1340"/>
      <c r="AS184" s="1340"/>
      <c r="AT184" s="1340"/>
      <c r="AU184" s="1340"/>
      <c r="AV184" s="1658"/>
      <c r="AW184" s="1640"/>
      <c r="AX184" s="1640" t="str">
        <f>IF(T184="","",T184)</f>
        <v>Добавить централизованную систему для дифференциации</v>
      </c>
      <c r="AY184" s="1640"/>
      <c r="AZ184" s="1640"/>
      <c r="BA184" s="1658">
        <v>0</v>
      </c>
    </row>
    <row s="1866" customFormat="1" customHeight="1" ht="21">
      <c r="A185" s="1379"/>
      <c r="B185" s="1379" t="s">
        <v>304</v>
      </c>
      <c r="C185" s="1379"/>
      <c r="D185" s="1379"/>
      <c r="E185" s="2275"/>
      <c r="F185" s="2274" t="s">
        <v>28</v>
      </c>
      <c r="G185" s="1379"/>
      <c r="H185" s="1379"/>
      <c r="I185" s="1379"/>
      <c r="J185" s="1379"/>
      <c r="K185" s="1379"/>
      <c r="L185" s="1385"/>
      <c r="M185" s="1381"/>
      <c r="N185" s="1381"/>
      <c r="O185" s="1381"/>
      <c r="P185" s="2623"/>
      <c r="Q185" s="1427"/>
      <c r="R185" s="369"/>
      <c r="S185" s="2289" t="str">
        <f>INDEX(PT_DIFFERENTIATION_NUM_TER,MATCH(B185,PT_DIFFERENTIATION_TER_ID,0))</f>
        <v>1.10</v>
      </c>
      <c r="T185" s="1538" t="s">
        <v>550</v>
      </c>
      <c r="U185" s="316"/>
      <c r="V185" s="2259"/>
      <c r="W185" s="2259"/>
      <c r="X185" s="2259"/>
      <c r="Y185" s="2259"/>
      <c r="Z185" s="2259"/>
      <c r="AA185" s="2260"/>
      <c r="AB185" s="2258" t="str">
        <f>INDEX(PT_DIFFERENTIATION_TER,MATCH(B185,PT_DIFFERENTIATION_TER_ID,0))</f>
        <v>Территория 10</v>
      </c>
      <c r="AC185" s="2259"/>
      <c r="AD185" s="2259"/>
      <c r="AE185" s="2259"/>
      <c r="AF185" s="2259"/>
      <c r="AG185" s="2259"/>
      <c r="AH185" s="2259"/>
      <c r="AI185" s="2259"/>
      <c r="AJ185" s="2259"/>
      <c r="AK185" s="2259"/>
      <c r="AL185" s="2259"/>
      <c r="AM185" s="2259"/>
      <c r="AN185" s="2259"/>
      <c r="AO185" s="2259"/>
      <c r="AP185" s="2259"/>
      <c r="AQ185" s="2259"/>
      <c r="AR185" s="2259"/>
      <c r="AS185" s="2259"/>
      <c r="AT185" s="2260"/>
      <c r="AU185" s="1274" t="s">
        <v>551</v>
      </c>
      <c r="AV185" s="1658"/>
      <c r="AW185" s="1640"/>
      <c r="AX185" s="1640" t="str">
        <f>IF(T185="","",T185)</f>
        <v>Территория действия тарифа</v>
      </c>
      <c r="AY185" s="1640"/>
      <c r="AZ185" s="1640"/>
      <c r="BA185" s="1651">
        <v>0</v>
      </c>
    </row>
    <row s="1866" customFormat="1" customHeight="1" ht="22.5">
      <c r="A186" s="1379"/>
      <c r="B186" s="1379"/>
      <c r="C186" s="1379" t="s">
        <v>305</v>
      </c>
      <c r="D186" s="1379"/>
      <c r="E186" s="2275"/>
      <c r="F186" s="2275" t="s">
        <v>28</v>
      </c>
      <c r="G186" s="2274">
        <v>1</v>
      </c>
      <c r="H186" s="1379"/>
      <c r="I186" s="1379"/>
      <c r="J186" s="1379"/>
      <c r="K186" s="1379"/>
      <c r="L186" s="1385"/>
      <c r="M186" s="1381"/>
      <c r="N186" s="1381"/>
      <c r="O186" s="1381"/>
      <c r="P186" s="1428"/>
      <c r="Q186" s="1427"/>
      <c r="R186" s="369"/>
      <c r="S186" s="2289" t="str">
        <f>INDEX(PT_DIFFERENTIATION_NUM_CS,MATCH(C186,PT_DIFFERENTIATION_CS_ID,0))</f>
        <v>1.10.1</v>
      </c>
      <c r="T186" s="325" t="s">
        <v>552</v>
      </c>
      <c r="U186" s="316"/>
      <c r="V186" s="2259"/>
      <c r="W186" s="2259"/>
      <c r="X186" s="2259"/>
      <c r="Y186" s="2259"/>
      <c r="Z186" s="2259"/>
      <c r="AA186" s="2260"/>
      <c r="AB186" s="2258" t="str">
        <f>INDEX(PT_DIFFERENTIATION_CS,MATCH(C186,PT_DIFFERENTIATION_CS_ID,0))</f>
        <v>с.Ивановка, Михайловский муниципальный округ</v>
      </c>
      <c r="AC186" s="2259"/>
      <c r="AD186" s="2259"/>
      <c r="AE186" s="2259"/>
      <c r="AF186" s="2259"/>
      <c r="AG186" s="2259"/>
      <c r="AH186" s="2259"/>
      <c r="AI186" s="2259"/>
      <c r="AJ186" s="2259"/>
      <c r="AK186" s="2259"/>
      <c r="AL186" s="2259"/>
      <c r="AM186" s="2259"/>
      <c r="AN186" s="2259"/>
      <c r="AO186" s="2259"/>
      <c r="AP186" s="2259"/>
      <c r="AQ186" s="2259"/>
      <c r="AR186" s="2259"/>
      <c r="AS186" s="2259"/>
      <c r="AT186" s="2260"/>
      <c r="AU186" s="1274" t="s">
        <v>553</v>
      </c>
      <c r="AV186" s="1658"/>
      <c r="AW186" s="1640"/>
      <c r="AX186" s="1640" t="str">
        <f>IF(T186="","",T186)</f>
        <v>Наименование системы теплоснабжения </v>
      </c>
      <c r="AY186" s="1640"/>
      <c r="AZ186" s="1640"/>
      <c r="BA186" s="1651">
        <v>0</v>
      </c>
    </row>
    <row s="1866" customFormat="1" customHeight="1" ht="21">
      <c r="A187" s="1379"/>
      <c r="B187" s="1379"/>
      <c r="C187" s="1379"/>
      <c r="D187" s="1379" t="s">
        <v>306</v>
      </c>
      <c r="E187" s="2275"/>
      <c r="F187" s="2275" t="s">
        <v>28</v>
      </c>
      <c r="G187" s="2275"/>
      <c r="H187" s="2274">
        <v>1</v>
      </c>
      <c r="I187" s="1379"/>
      <c r="J187" s="1379"/>
      <c r="K187" s="1379"/>
      <c r="L187" s="1385"/>
      <c r="M187" s="1381"/>
      <c r="N187" s="1381"/>
      <c r="O187" s="1381"/>
      <c r="P187" s="1428"/>
      <c r="Q187" s="1427"/>
      <c r="R187" s="369"/>
      <c r="S187" s="2289" t="str">
        <f>INDEX(PT_DIFFERENTIATION_NUM_IST_TE,MATCH(D187,PT_DIFFERENTIATION_IST_TE_ID,0))</f>
        <v>1.10.1.1</v>
      </c>
      <c r="T187" s="326" t="s">
        <v>554</v>
      </c>
      <c r="U187" s="316"/>
      <c r="V187" s="2259"/>
      <c r="W187" s="2259"/>
      <c r="X187" s="2259"/>
      <c r="Y187" s="2259"/>
      <c r="Z187" s="2259"/>
      <c r="AA187" s="2260"/>
      <c r="AB187" s="2258" t="str">
        <f>INDEX(PT_DIFFERENTIATION_IST_TE,MATCH(D187,PT_DIFFERENTIATION_IST_TE_ID,0))</f>
        <v>без дифференциации</v>
      </c>
      <c r="AC187" s="2259"/>
      <c r="AD187" s="2259"/>
      <c r="AE187" s="2259"/>
      <c r="AF187" s="2259"/>
      <c r="AG187" s="2259"/>
      <c r="AH187" s="2259"/>
      <c r="AI187" s="2259"/>
      <c r="AJ187" s="2259"/>
      <c r="AK187" s="2259"/>
      <c r="AL187" s="2259"/>
      <c r="AM187" s="2259"/>
      <c r="AN187" s="2259"/>
      <c r="AO187" s="2259"/>
      <c r="AP187" s="2259"/>
      <c r="AQ187" s="2259"/>
      <c r="AR187" s="2259"/>
      <c r="AS187" s="2259"/>
      <c r="AT187" s="2260"/>
      <c r="AU187" s="1274" t="s">
        <v>555</v>
      </c>
      <c r="AV187" s="1658"/>
      <c r="AW187" s="1640"/>
      <c r="AX187" s="1640" t="str">
        <f>IF(T187="","",T187)</f>
        <v>Источник тепловой энергии  </v>
      </c>
      <c r="AY187" s="1640"/>
      <c r="AZ187" s="1640"/>
      <c r="BA187" s="1651">
        <v>0</v>
      </c>
    </row>
    <row s="638" customFormat="1" customHeight="1" ht="0.75">
      <c r="A188" s="1359"/>
      <c r="B188" s="1359"/>
      <c r="C188" s="1359"/>
      <c r="D188" s="1359"/>
      <c r="E188" s="2275"/>
      <c r="F188" s="2275" t="s">
        <v>28</v>
      </c>
      <c r="G188" s="2275"/>
      <c r="H188" s="2275"/>
      <c r="I188" s="2272" t="str">
        <f>S187&amp;".1"</f>
        <v>1.10.1.1.1</v>
      </c>
      <c r="J188" s="1359"/>
      <c r="K188" s="1359"/>
      <c r="L188" s="1561" t="s">
        <v>556</v>
      </c>
      <c r="M188" s="526"/>
      <c r="N188" s="526"/>
      <c r="O188" s="526"/>
      <c r="P188" s="2390">
        <v>1</v>
      </c>
      <c r="Q188" s="2390"/>
      <c r="R188" s="372"/>
      <c r="S188" s="2320"/>
      <c r="T188" s="1399"/>
      <c r="U188" s="1400"/>
      <c r="V188" s="2313"/>
      <c r="W188" s="2313"/>
      <c r="X188" s="2313"/>
      <c r="Y188" s="2313"/>
      <c r="Z188" s="2313"/>
      <c r="AA188" s="2314"/>
      <c r="AB188" s="2312"/>
      <c r="AC188" s="2313"/>
      <c r="AD188" s="2313"/>
      <c r="AE188" s="2313"/>
      <c r="AF188" s="2313"/>
      <c r="AG188" s="2313"/>
      <c r="AH188" s="2313"/>
      <c r="AI188" s="2313"/>
      <c r="AJ188" s="2313"/>
      <c r="AK188" s="2313"/>
      <c r="AL188" s="2313"/>
      <c r="AM188" s="2313"/>
      <c r="AN188" s="2313"/>
      <c r="AO188" s="2313"/>
      <c r="AP188" s="2313"/>
      <c r="AQ188" s="2313"/>
      <c r="AR188" s="2313"/>
      <c r="AS188" s="2313"/>
      <c r="AT188" s="2314"/>
      <c r="AU188" s="1401"/>
      <c r="AV188" s="1658"/>
      <c r="AW188" s="1640"/>
      <c r="AX188" s="1640" t="str">
        <f>IF(T188="","",T188)</f>
        <v/>
      </c>
      <c r="AY188" s="1640"/>
      <c r="AZ188" s="1640"/>
      <c r="BA188" s="1658">
        <v>0</v>
      </c>
    </row>
    <row s="638" customFormat="1" customHeight="1" ht="0.75">
      <c r="A189" s="1359"/>
      <c r="B189" s="1359"/>
      <c r="C189" s="1359"/>
      <c r="D189" s="1359"/>
      <c r="E189" s="2275"/>
      <c r="F189" s="2275" t="s">
        <v>28</v>
      </c>
      <c r="G189" s="2275"/>
      <c r="H189" s="2275"/>
      <c r="I189" s="2302"/>
      <c r="J189" s="2272" t="str">
        <f>S187&amp;".1"</f>
        <v>1.10.1.1.1</v>
      </c>
      <c r="K189" s="1359"/>
      <c r="L189" s="1561"/>
      <c r="M189" s="526"/>
      <c r="N189" s="526"/>
      <c r="O189" s="526"/>
      <c r="P189" s="2390"/>
      <c r="Q189" s="2390">
        <v>1</v>
      </c>
      <c r="R189" s="373"/>
      <c r="S189" s="2320"/>
      <c r="T189" s="1415"/>
      <c r="U189" s="1400"/>
      <c r="V189" s="2313"/>
      <c r="W189" s="2313"/>
      <c r="X189" s="2313"/>
      <c r="Y189" s="2313"/>
      <c r="Z189" s="2313"/>
      <c r="AA189" s="2314"/>
      <c r="AB189" s="2312"/>
      <c r="AC189" s="2313"/>
      <c r="AD189" s="2313"/>
      <c r="AE189" s="2313"/>
      <c r="AF189" s="2313"/>
      <c r="AG189" s="2313"/>
      <c r="AH189" s="2313"/>
      <c r="AI189" s="2313"/>
      <c r="AJ189" s="2313"/>
      <c r="AK189" s="2313"/>
      <c r="AL189" s="2313"/>
      <c r="AM189" s="2313"/>
      <c r="AN189" s="2313"/>
      <c r="AO189" s="2313"/>
      <c r="AP189" s="2313"/>
      <c r="AQ189" s="2313"/>
      <c r="AR189" s="2313"/>
      <c r="AS189" s="2313"/>
      <c r="AT189" s="2314"/>
      <c r="AU189" s="1401"/>
      <c r="AV189" s="1658"/>
      <c r="AW189" s="1640"/>
      <c r="AX189" s="1640" t="str">
        <f>IF(T189="","",T189)</f>
        <v/>
      </c>
      <c r="AY189" s="1640"/>
      <c r="AZ189" s="1640"/>
      <c r="BA189" s="1658">
        <v>0</v>
      </c>
    </row>
    <row s="1866" customFormat="1" customHeight="1" ht="21">
      <c r="A190" s="1379"/>
      <c r="B190" s="1379"/>
      <c r="C190" s="1379"/>
      <c r="D190" s="1379"/>
      <c r="E190" s="2275"/>
      <c r="F190" s="2275" t="s">
        <v>28</v>
      </c>
      <c r="G190" s="2275"/>
      <c r="H190" s="2275"/>
      <c r="I190" s="2302"/>
      <c r="J190" s="2302"/>
      <c r="K190" s="2272" t="str">
        <f>S187&amp;".1"</f>
        <v>1.10.1.1.1</v>
      </c>
      <c r="L190" s="1385"/>
      <c r="M190" s="1792"/>
      <c r="N190" s="1792"/>
      <c r="O190" s="1792"/>
      <c r="P190" s="2390"/>
      <c r="Q190" s="2390"/>
      <c r="R190" s="2363">
        <v>1</v>
      </c>
      <c r="S190" s="2357" t="str">
        <f>$K190</f>
        <v>1.10.1.1.1</v>
      </c>
      <c r="T190" s="2360" t="s">
        <v>630</v>
      </c>
      <c r="U190" s="316"/>
      <c r="V190" s="767"/>
      <c r="W190" s="1273"/>
      <c r="X190" s="2618"/>
      <c r="Y190" s="2123" t="s">
        <v>64</v>
      </c>
      <c r="Z190" s="2618"/>
      <c r="AA190" s="2123" t="s">
        <v>64</v>
      </c>
      <c r="AB190" s="2123" t="s">
        <v>19</v>
      </c>
      <c r="AC190" s="2342"/>
      <c r="AD190" s="2453">
        <v>1</v>
      </c>
      <c r="AE190" s="2364" t="s">
        <v>28</v>
      </c>
      <c r="AF190" s="2123" t="s">
        <v>19</v>
      </c>
      <c r="AG190" s="2342"/>
      <c r="AH190" s="2453">
        <v>1</v>
      </c>
      <c r="AI190" s="2364" t="s">
        <v>28</v>
      </c>
      <c r="AJ190" s="2123" t="s">
        <v>19</v>
      </c>
      <c r="AK190" s="327"/>
      <c r="AL190" s="2453">
        <v>1</v>
      </c>
      <c r="AM190" s="1540" t="s">
        <v>28</v>
      </c>
      <c r="AN190" s="767"/>
      <c r="AO190" s="1273">
        <v>368.43</v>
      </c>
      <c r="AP190" s="2618">
        <v>45856</v>
      </c>
      <c r="AQ190" s="2123" t="s">
        <v>64</v>
      </c>
      <c r="AR190" s="2618">
        <v>46022</v>
      </c>
      <c r="AS190" s="2123" t="s">
        <v>64</v>
      </c>
      <c r="AT190" s="1364"/>
      <c r="AU190" s="2269" t="s">
        <v>613</v>
      </c>
      <c r="AV190" s="1658">
        <f>STRCHECKDATE(V193:AT193)</f>
      </c>
      <c r="AW190" s="1640"/>
      <c r="AX190" s="1640" t="str">
        <f>IF(T190="","",T190)</f>
        <v>Котельная</v>
      </c>
      <c r="AY190" s="1640"/>
      <c r="AZ190" s="1640"/>
      <c r="BA190" s="1651">
        <v>0</v>
      </c>
    </row>
    <row s="1866" customFormat="1" customHeight="1" ht="11.25">
      <c r="A191" s="1379"/>
      <c r="B191" s="1379"/>
      <c r="C191" s="1379"/>
      <c r="D191" s="1379"/>
      <c r="E191" s="2275"/>
      <c r="F191" s="2275" t="s">
        <v>28</v>
      </c>
      <c r="G191" s="2275"/>
      <c r="H191" s="2275"/>
      <c r="I191" s="2302"/>
      <c r="J191" s="2302"/>
      <c r="K191" s="2272"/>
      <c r="L191" s="1385"/>
      <c r="M191" s="1792"/>
      <c r="N191" s="1792"/>
      <c r="O191" s="1792"/>
      <c r="P191" s="2390"/>
      <c r="Q191" s="2390"/>
      <c r="R191" s="2363"/>
      <c r="S191" s="2358"/>
      <c r="T191" s="2361"/>
      <c r="U191" s="316"/>
      <c r="V191" s="3691"/>
      <c r="W191" s="3692"/>
      <c r="X191" s="2618"/>
      <c r="Y191" s="2123"/>
      <c r="Z191" s="2618"/>
      <c r="AA191" s="2123"/>
      <c r="AB191" s="2123"/>
      <c r="AC191" s="2342"/>
      <c r="AD191" s="2453"/>
      <c r="AE191" s="2364" t="s">
        <v>28</v>
      </c>
      <c r="AF191" s="2123"/>
      <c r="AG191" s="2342"/>
      <c r="AH191" s="2453"/>
      <c r="AI191" s="2364" t="s">
        <v>28</v>
      </c>
      <c r="AJ191" s="2123"/>
      <c r="AK191" s="3693"/>
      <c r="AL191" s="3694"/>
      <c r="AM191" s="3695" t="s">
        <v>614</v>
      </c>
      <c r="AN191" s="3696"/>
      <c r="AO191" s="3697"/>
      <c r="AP191" s="3698"/>
      <c r="AQ191" s="3699"/>
      <c r="AR191" s="3700"/>
      <c r="AS191" s="3701"/>
      <c r="AT191" s="1406"/>
      <c r="AU191" s="2270"/>
      <c r="AV191" s="1658"/>
      <c r="AW191" s="1640"/>
      <c r="AX191" s="1640"/>
      <c r="AY191" s="1640"/>
      <c r="AZ191" s="1640"/>
      <c r="BA191" s="1651">
        <v>0</v>
      </c>
    </row>
    <row s="1866" customFormat="1" customHeight="1" ht="11.25">
      <c r="A192" s="1379"/>
      <c r="B192" s="1379"/>
      <c r="C192" s="1379"/>
      <c r="D192" s="1379"/>
      <c r="E192" s="2275"/>
      <c r="F192" s="2275" t="s">
        <v>28</v>
      </c>
      <c r="G192" s="2275"/>
      <c r="H192" s="2275"/>
      <c r="I192" s="2302"/>
      <c r="J192" s="2302"/>
      <c r="K192" s="2272"/>
      <c r="L192" s="1385"/>
      <c r="M192" s="1792"/>
      <c r="N192" s="1792"/>
      <c r="O192" s="1792"/>
      <c r="P192" s="2390"/>
      <c r="Q192" s="2390"/>
      <c r="R192" s="2363"/>
      <c r="S192" s="2358"/>
      <c r="T192" s="2361"/>
      <c r="U192" s="316"/>
      <c r="V192" s="3702"/>
      <c r="W192" s="3703"/>
      <c r="X192" s="2618"/>
      <c r="Y192" s="2123"/>
      <c r="Z192" s="2618"/>
      <c r="AA192" s="2123"/>
      <c r="AB192" s="2123"/>
      <c r="AC192" s="2342"/>
      <c r="AD192" s="2453"/>
      <c r="AE192" s="2364" t="s">
        <v>28</v>
      </c>
      <c r="AF192" s="2123"/>
      <c r="AG192" s="3704"/>
      <c r="AH192" s="3705"/>
      <c r="AI192" s="3706" t="s">
        <v>615</v>
      </c>
      <c r="AJ192" s="3707"/>
      <c r="AK192" s="3708"/>
      <c r="AL192" s="3709"/>
      <c r="AM192" s="3710"/>
      <c r="AN192" s="3711"/>
      <c r="AO192" s="3712"/>
      <c r="AP192" s="3713"/>
      <c r="AQ192" s="3714"/>
      <c r="AR192" s="3715"/>
      <c r="AS192" s="3716"/>
      <c r="AT192" s="1406"/>
      <c r="AU192" s="2270"/>
      <c r="AV192" s="1658"/>
      <c r="AW192" s="1640"/>
      <c r="AX192" s="1640"/>
      <c r="AY192" s="1640"/>
      <c r="AZ192" s="1640"/>
      <c r="BA192" s="1651">
        <v>0</v>
      </c>
    </row>
    <row s="1866" customFormat="1" customHeight="1" ht="11.25">
      <c r="A193" s="1379"/>
      <c r="B193" s="1379"/>
      <c r="C193" s="1379"/>
      <c r="D193" s="1379"/>
      <c r="E193" s="2275"/>
      <c r="F193" s="2275" t="s">
        <v>28</v>
      </c>
      <c r="G193" s="2275"/>
      <c r="H193" s="2275"/>
      <c r="I193" s="2302"/>
      <c r="J193" s="2302"/>
      <c r="K193" s="2272"/>
      <c r="L193" s="1385"/>
      <c r="M193" s="1792"/>
      <c r="N193" s="1792"/>
      <c r="O193" s="1792"/>
      <c r="P193" s="2390"/>
      <c r="Q193" s="2390"/>
      <c r="R193" s="2363"/>
      <c r="S193" s="2359"/>
      <c r="T193" s="2362"/>
      <c r="U193" s="316"/>
      <c r="V193" s="3717"/>
      <c r="W193" s="3718" t="str">
        <f>X190&amp;"-"&amp;Z190</f>
        <v>-</v>
      </c>
      <c r="X193" s="2325"/>
      <c r="Y193" s="2123"/>
      <c r="Z193" s="2325"/>
      <c r="AA193" s="2123"/>
      <c r="AB193" s="2123"/>
      <c r="AC193" s="3719"/>
      <c r="AD193" s="3720"/>
      <c r="AE193" s="3721" t="s">
        <v>616</v>
      </c>
      <c r="AF193" s="3722"/>
      <c r="AG193" s="3723"/>
      <c r="AH193" s="3724"/>
      <c r="AI193" s="3725"/>
      <c r="AJ193" s="3726"/>
      <c r="AK193" s="3727"/>
      <c r="AL193" s="3728"/>
      <c r="AM193" s="3729"/>
      <c r="AN193" s="3730"/>
      <c r="AO193" s="3731" t="str">
        <f>AP190&amp;"-"&amp;AR190</f>
        <v>45856-46022</v>
      </c>
      <c r="AP193" s="3732"/>
      <c r="AQ193" s="3733"/>
      <c r="AR193" s="3734"/>
      <c r="AS193" s="3735"/>
      <c r="AT193" s="1365"/>
      <c r="AU193" s="2270"/>
      <c r="AV193" s="1658"/>
      <c r="AW193" s="1640"/>
      <c r="AX193" s="1640" t="str">
        <f>IF(T193="","",T193)</f>
        <v/>
      </c>
      <c r="AY193" s="1640"/>
      <c r="AZ193" s="1640"/>
      <c r="BA193" s="1651">
        <v>0</v>
      </c>
    </row>
    <row s="1866" customFormat="1" customHeight="1" ht="11.25">
      <c r="A194" s="1379"/>
      <c r="B194" s="1379"/>
      <c r="C194" s="1379"/>
      <c r="D194" s="1379"/>
      <c r="E194" s="2275"/>
      <c r="F194" s="2275" t="s">
        <v>28</v>
      </c>
      <c r="G194" s="2275"/>
      <c r="H194" s="2275"/>
      <c r="I194" s="2302"/>
      <c r="J194" s="2272"/>
      <c r="K194" s="1379"/>
      <c r="L194" s="1385"/>
      <c r="M194" s="1792"/>
      <c r="N194" s="1792"/>
      <c r="O194" s="1792"/>
      <c r="P194" s="2390"/>
      <c r="Q194" s="2390"/>
      <c r="R194" s="372"/>
      <c r="S194" s="3736"/>
      <c r="T194" s="3737" t="s">
        <v>617</v>
      </c>
      <c r="U194" s="3738"/>
      <c r="V194" s="3739"/>
      <c r="W194" s="3740"/>
      <c r="X194" s="3741"/>
      <c r="Y194" s="3742"/>
      <c r="Z194" s="3743"/>
      <c r="AA194" s="3744"/>
      <c r="AB194" s="3745"/>
      <c r="AC194" s="3746"/>
      <c r="AD194" s="3747"/>
      <c r="AE194" s="3748"/>
      <c r="AF194" s="3749"/>
      <c r="AG194" s="3750"/>
      <c r="AH194" s="3751"/>
      <c r="AI194" s="3752"/>
      <c r="AJ194" s="3753"/>
      <c r="AK194" s="3754"/>
      <c r="AL194" s="3755"/>
      <c r="AM194" s="3756"/>
      <c r="AN194" s="3757"/>
      <c r="AO194" s="3758"/>
      <c r="AP194" s="3759"/>
      <c r="AQ194" s="3760"/>
      <c r="AR194" s="3761"/>
      <c r="AS194" s="3762"/>
      <c r="AT194" s="3763"/>
      <c r="AU194" s="2271"/>
      <c r="AV194" s="1658"/>
      <c r="AW194" s="1640"/>
      <c r="AX194" s="1640" t="str">
        <f>IF(T194="","",T194)</f>
        <v>Добавить строку</v>
      </c>
      <c r="AY194" s="1640"/>
      <c r="AZ194" s="1640"/>
      <c r="BA194" s="1651">
        <v>0</v>
      </c>
    </row>
    <row s="638" customFormat="1" customHeight="1" ht="0.75">
      <c r="A195" s="1359"/>
      <c r="B195" s="1359"/>
      <c r="C195" s="1359"/>
      <c r="D195" s="1359"/>
      <c r="E195" s="2275"/>
      <c r="F195" s="2275" t="s">
        <v>28</v>
      </c>
      <c r="G195" s="2275"/>
      <c r="H195" s="2275"/>
      <c r="I195" s="2272"/>
      <c r="J195" s="1359"/>
      <c r="K195" s="1359"/>
      <c r="L195" s="1561"/>
      <c r="M195" s="526"/>
      <c r="N195" s="526"/>
      <c r="O195" s="526"/>
      <c r="P195" s="2390"/>
      <c r="Q195" s="2390"/>
      <c r="R195" s="372"/>
      <c r="S195" s="1402"/>
      <c r="T195" s="1403"/>
      <c r="U195" s="1404"/>
      <c r="V195" s="1404"/>
      <c r="W195" s="1404"/>
      <c r="X195" s="1404"/>
      <c r="Y195" s="1404"/>
      <c r="Z195" s="1404"/>
      <c r="AA195" s="1404"/>
      <c r="AB195" s="1404"/>
      <c r="AC195" s="1404"/>
      <c r="AD195" s="1404"/>
      <c r="AE195" s="1404"/>
      <c r="AF195" s="1404"/>
      <c r="AG195" s="1404"/>
      <c r="AH195" s="1404"/>
      <c r="AI195" s="1404"/>
      <c r="AJ195" s="1404"/>
      <c r="AK195" s="1404"/>
      <c r="AL195" s="1404"/>
      <c r="AM195" s="1404"/>
      <c r="AN195" s="1404"/>
      <c r="AO195" s="1404"/>
      <c r="AP195" s="1404"/>
      <c r="AQ195" s="1404"/>
      <c r="AR195" s="1404"/>
      <c r="AS195" s="1404"/>
      <c r="AT195" s="1404"/>
      <c r="AU195" s="1405"/>
      <c r="AV195" s="1658"/>
      <c r="AW195" s="1640"/>
      <c r="AX195" s="1640" t="str">
        <f>IF(T195="","",T195)</f>
        <v/>
      </c>
      <c r="AY195" s="1640"/>
      <c r="AZ195" s="1640"/>
      <c r="BA195" s="1658">
        <v>0</v>
      </c>
    </row>
    <row s="638" customFormat="1" customHeight="1" ht="0.75">
      <c r="A196" s="1359"/>
      <c r="B196" s="1359"/>
      <c r="C196" s="1359"/>
      <c r="D196" s="1359"/>
      <c r="E196" s="2275"/>
      <c r="F196" s="2275" t="s">
        <v>28</v>
      </c>
      <c r="G196" s="2275"/>
      <c r="H196" s="2274"/>
      <c r="I196" s="1359"/>
      <c r="J196" s="1359"/>
      <c r="K196" s="1359"/>
      <c r="L196" s="1561"/>
      <c r="M196" s="1331"/>
      <c r="N196" s="1331"/>
      <c r="O196" s="1658"/>
      <c r="P196" s="1332"/>
      <c r="Q196" s="1360"/>
      <c r="R196" s="1417"/>
      <c r="S196" s="1402"/>
      <c r="T196" s="1403"/>
      <c r="U196" s="1404"/>
      <c r="V196" s="1404"/>
      <c r="W196" s="1404"/>
      <c r="X196" s="1404"/>
      <c r="Y196" s="1404"/>
      <c r="Z196" s="1404"/>
      <c r="AA196" s="1404"/>
      <c r="AB196" s="1404"/>
      <c r="AC196" s="1404"/>
      <c r="AD196" s="1404"/>
      <c r="AE196" s="1404"/>
      <c r="AF196" s="1404"/>
      <c r="AG196" s="1404"/>
      <c r="AH196" s="1404"/>
      <c r="AI196" s="1404"/>
      <c r="AJ196" s="1404"/>
      <c r="AK196" s="1404"/>
      <c r="AL196" s="1404"/>
      <c r="AM196" s="1404"/>
      <c r="AN196" s="1404"/>
      <c r="AO196" s="1404"/>
      <c r="AP196" s="1404"/>
      <c r="AQ196" s="1404"/>
      <c r="AR196" s="1404"/>
      <c r="AS196" s="1404"/>
      <c r="AT196" s="1404"/>
      <c r="AU196" s="1405"/>
      <c r="AV196" s="1658"/>
      <c r="AW196" s="1640"/>
      <c r="AX196" s="1640" t="str">
        <f>IF(T196="","",T196)</f>
        <v/>
      </c>
      <c r="AY196" s="1640"/>
      <c r="AZ196" s="1640"/>
      <c r="BA196" s="1658">
        <v>0</v>
      </c>
    </row>
    <row s="638" customFormat="1" customHeight="1" ht="0.75">
      <c r="A197" s="1359"/>
      <c r="B197" s="1359"/>
      <c r="C197" s="1359"/>
      <c r="D197" s="1359"/>
      <c r="E197" s="2275"/>
      <c r="F197" s="2275" t="s">
        <v>28</v>
      </c>
      <c r="G197" s="2274"/>
      <c r="H197" s="1359"/>
      <c r="I197" s="1359"/>
      <c r="J197" s="1359"/>
      <c r="K197" s="1359"/>
      <c r="L197" s="1561"/>
      <c r="M197" s="1331"/>
      <c r="N197" s="1331"/>
      <c r="O197" s="1658"/>
      <c r="P197" s="1332"/>
      <c r="Q197" s="1360"/>
      <c r="R197" s="1332"/>
      <c r="S197" s="1338"/>
      <c r="T197" s="1341" t="s">
        <v>268</v>
      </c>
      <c r="U197" s="1340"/>
      <c r="V197" s="1340"/>
      <c r="W197" s="1340"/>
      <c r="X197" s="1340"/>
      <c r="Y197" s="1340"/>
      <c r="Z197" s="1340"/>
      <c r="AA197" s="1340"/>
      <c r="AB197" s="1340"/>
      <c r="AC197" s="1340"/>
      <c r="AD197" s="1340"/>
      <c r="AE197" s="1340"/>
      <c r="AF197" s="1340"/>
      <c r="AG197" s="1340"/>
      <c r="AH197" s="1340"/>
      <c r="AI197" s="1340"/>
      <c r="AJ197" s="1340"/>
      <c r="AK197" s="1340"/>
      <c r="AL197" s="1340"/>
      <c r="AM197" s="1340"/>
      <c r="AN197" s="1340"/>
      <c r="AO197" s="1340"/>
      <c r="AP197" s="1340"/>
      <c r="AQ197" s="1340"/>
      <c r="AR197" s="1340"/>
      <c r="AS197" s="1340"/>
      <c r="AT197" s="1340"/>
      <c r="AU197" s="1340"/>
      <c r="AV197" s="1658"/>
      <c r="AW197" s="1640"/>
      <c r="AX197" s="1640" t="str">
        <f>IF(T197="","",T197)</f>
        <v>Добавить источник для дифференциации</v>
      </c>
      <c r="AY197" s="1640"/>
      <c r="AZ197" s="1640"/>
      <c r="BA197" s="1658">
        <v>0</v>
      </c>
    </row>
    <row s="638" customFormat="1" customHeight="1" ht="0.75">
      <c r="A198" s="1359"/>
      <c r="B198" s="1359"/>
      <c r="C198" s="1359"/>
      <c r="D198" s="1359"/>
      <c r="E198" s="2275"/>
      <c r="F198" s="2274" t="s">
        <v>28</v>
      </c>
      <c r="G198" s="1359"/>
      <c r="H198" s="1359"/>
      <c r="I198" s="1359"/>
      <c r="J198" s="1359"/>
      <c r="K198" s="1359"/>
      <c r="L198" s="1561"/>
      <c r="M198" s="1337"/>
      <c r="N198" s="1337"/>
      <c r="O198" s="1658"/>
      <c r="P198" s="1332"/>
      <c r="Q198" s="1360"/>
      <c r="R198" s="1332"/>
      <c r="S198" s="1338"/>
      <c r="T198" s="1341" t="s">
        <v>269</v>
      </c>
      <c r="U198" s="1340"/>
      <c r="V198" s="1340"/>
      <c r="W198" s="1340"/>
      <c r="X198" s="1340"/>
      <c r="Y198" s="1340"/>
      <c r="Z198" s="1340"/>
      <c r="AA198" s="1340"/>
      <c r="AB198" s="1340"/>
      <c r="AC198" s="1340"/>
      <c r="AD198" s="1340"/>
      <c r="AE198" s="1340"/>
      <c r="AF198" s="1340"/>
      <c r="AG198" s="1340"/>
      <c r="AH198" s="1340"/>
      <c r="AI198" s="1340"/>
      <c r="AJ198" s="1340"/>
      <c r="AK198" s="1340"/>
      <c r="AL198" s="1340"/>
      <c r="AM198" s="1340"/>
      <c r="AN198" s="1340"/>
      <c r="AO198" s="1340"/>
      <c r="AP198" s="1340"/>
      <c r="AQ198" s="1340"/>
      <c r="AR198" s="1340"/>
      <c r="AS198" s="1340"/>
      <c r="AT198" s="1340"/>
      <c r="AU198" s="1340"/>
      <c r="AV198" s="1658"/>
      <c r="AW198" s="1640"/>
      <c r="AX198" s="1640" t="str">
        <f>IF(T198="","",T198)</f>
        <v>Добавить централизованную систему для дифференциации</v>
      </c>
      <c r="AY198" s="1640"/>
      <c r="AZ198" s="1640"/>
      <c r="BA198" s="1658">
        <v>0</v>
      </c>
    </row>
    <row s="1866" customFormat="1" customHeight="1" ht="21">
      <c r="A199" s="1379"/>
      <c r="B199" s="1379" t="s">
        <v>308</v>
      </c>
      <c r="C199" s="1379"/>
      <c r="D199" s="1379"/>
      <c r="E199" s="2275"/>
      <c r="F199" s="2274" t="s">
        <v>28</v>
      </c>
      <c r="G199" s="1379"/>
      <c r="H199" s="1379"/>
      <c r="I199" s="1379"/>
      <c r="J199" s="1379"/>
      <c r="K199" s="1379"/>
      <c r="L199" s="1385"/>
      <c r="M199" s="1381"/>
      <c r="N199" s="1381"/>
      <c r="O199" s="1381"/>
      <c r="P199" s="2623"/>
      <c r="Q199" s="1427"/>
      <c r="R199" s="369"/>
      <c r="S199" s="2289" t="str">
        <f>INDEX(PT_DIFFERENTIATION_NUM_TER,MATCH(B199,PT_DIFFERENTIATION_TER_ID,0))</f>
        <v>1.11</v>
      </c>
      <c r="T199" s="1538" t="s">
        <v>550</v>
      </c>
      <c r="U199" s="316"/>
      <c r="V199" s="2259"/>
      <c r="W199" s="2259"/>
      <c r="X199" s="2259"/>
      <c r="Y199" s="2259"/>
      <c r="Z199" s="2259"/>
      <c r="AA199" s="2260"/>
      <c r="AB199" s="2258" t="str">
        <f>INDEX(PT_DIFFERENTIATION_TER,MATCH(B199,PT_DIFFERENTIATION_TER_ID,0))</f>
        <v>Территория 11</v>
      </c>
      <c r="AC199" s="2259"/>
      <c r="AD199" s="2259"/>
      <c r="AE199" s="2259"/>
      <c r="AF199" s="2259"/>
      <c r="AG199" s="2259"/>
      <c r="AH199" s="2259"/>
      <c r="AI199" s="2259"/>
      <c r="AJ199" s="2259"/>
      <c r="AK199" s="2259"/>
      <c r="AL199" s="2259"/>
      <c r="AM199" s="2259"/>
      <c r="AN199" s="2259"/>
      <c r="AO199" s="2259"/>
      <c r="AP199" s="2259"/>
      <c r="AQ199" s="2259"/>
      <c r="AR199" s="2259"/>
      <c r="AS199" s="2259"/>
      <c r="AT199" s="2260"/>
      <c r="AU199" s="1274" t="s">
        <v>551</v>
      </c>
      <c r="AV199" s="1658"/>
      <c r="AW199" s="1640"/>
      <c r="AX199" s="1640" t="str">
        <f>IF(T199="","",T199)</f>
        <v>Территория действия тарифа</v>
      </c>
      <c r="AY199" s="1640"/>
      <c r="AZ199" s="1640"/>
      <c r="BA199" s="1651">
        <v>0</v>
      </c>
    </row>
    <row s="1866" customFormat="1" customHeight="1" ht="22.5">
      <c r="A200" s="1379"/>
      <c r="B200" s="1379"/>
      <c r="C200" s="1379" t="s">
        <v>309</v>
      </c>
      <c r="D200" s="1379"/>
      <c r="E200" s="2275"/>
      <c r="F200" s="2275" t="s">
        <v>28</v>
      </c>
      <c r="G200" s="2274">
        <v>1</v>
      </c>
      <c r="H200" s="1379"/>
      <c r="I200" s="1379"/>
      <c r="J200" s="1379"/>
      <c r="K200" s="1379"/>
      <c r="L200" s="1385"/>
      <c r="M200" s="1381"/>
      <c r="N200" s="1381"/>
      <c r="O200" s="1381"/>
      <c r="P200" s="1428"/>
      <c r="Q200" s="1427"/>
      <c r="R200" s="369"/>
      <c r="S200" s="2289" t="str">
        <f>INDEX(PT_DIFFERENTIATION_NUM_CS,MATCH(C200,PT_DIFFERENTIATION_CS_ID,0))</f>
        <v>1.11.1</v>
      </c>
      <c r="T200" s="325" t="s">
        <v>552</v>
      </c>
      <c r="U200" s="316"/>
      <c r="V200" s="2259"/>
      <c r="W200" s="2259"/>
      <c r="X200" s="2259"/>
      <c r="Y200" s="2259"/>
      <c r="Z200" s="2259"/>
      <c r="AA200" s="2260"/>
      <c r="AB200" s="2258" t="str">
        <f>INDEX(PT_DIFFERENTIATION_CS,MATCH(C200,PT_DIFFERENTIATION_CS_ID,0))</f>
        <v>пгт. Ярославский, Хорольский муниципальный округ</v>
      </c>
      <c r="AC200" s="2259"/>
      <c r="AD200" s="2259"/>
      <c r="AE200" s="2259"/>
      <c r="AF200" s="2259"/>
      <c r="AG200" s="2259"/>
      <c r="AH200" s="2259"/>
      <c r="AI200" s="2259"/>
      <c r="AJ200" s="2259"/>
      <c r="AK200" s="2259"/>
      <c r="AL200" s="2259"/>
      <c r="AM200" s="2259"/>
      <c r="AN200" s="2259"/>
      <c r="AO200" s="2259"/>
      <c r="AP200" s="2259"/>
      <c r="AQ200" s="2259"/>
      <c r="AR200" s="2259"/>
      <c r="AS200" s="2259"/>
      <c r="AT200" s="2260"/>
      <c r="AU200" s="1274" t="s">
        <v>553</v>
      </c>
      <c r="AV200" s="1658"/>
      <c r="AW200" s="1640"/>
      <c r="AX200" s="1640" t="str">
        <f>IF(T200="","",T200)</f>
        <v>Наименование системы теплоснабжения </v>
      </c>
      <c r="AY200" s="1640"/>
      <c r="AZ200" s="1640"/>
      <c r="BA200" s="1651">
        <v>0</v>
      </c>
    </row>
    <row s="1866" customFormat="1" customHeight="1" ht="21">
      <c r="A201" s="1379"/>
      <c r="B201" s="1379"/>
      <c r="C201" s="1379"/>
      <c r="D201" s="1379" t="s">
        <v>310</v>
      </c>
      <c r="E201" s="2275"/>
      <c r="F201" s="2275" t="s">
        <v>28</v>
      </c>
      <c r="G201" s="2275"/>
      <c r="H201" s="2274">
        <v>1</v>
      </c>
      <c r="I201" s="1379"/>
      <c r="J201" s="1379"/>
      <c r="K201" s="1379"/>
      <c r="L201" s="1385"/>
      <c r="M201" s="1381"/>
      <c r="N201" s="1381"/>
      <c r="O201" s="1381"/>
      <c r="P201" s="1428"/>
      <c r="Q201" s="1427"/>
      <c r="R201" s="369"/>
      <c r="S201" s="2289" t="str">
        <f>INDEX(PT_DIFFERENTIATION_NUM_IST_TE,MATCH(D201,PT_DIFFERENTIATION_IST_TE_ID,0))</f>
        <v>1.11.1.1</v>
      </c>
      <c r="T201" s="326" t="s">
        <v>554</v>
      </c>
      <c r="U201" s="316"/>
      <c r="V201" s="2259"/>
      <c r="W201" s="2259"/>
      <c r="X201" s="2259"/>
      <c r="Y201" s="2259"/>
      <c r="Z201" s="2259"/>
      <c r="AA201" s="2260"/>
      <c r="AB201" s="2258" t="str">
        <f>INDEX(PT_DIFFERENTIATION_IST_TE,MATCH(D201,PT_DIFFERENTIATION_IST_TE_ID,0))</f>
        <v>без дифференциации</v>
      </c>
      <c r="AC201" s="2259"/>
      <c r="AD201" s="2259"/>
      <c r="AE201" s="2259"/>
      <c r="AF201" s="2259"/>
      <c r="AG201" s="2259"/>
      <c r="AH201" s="2259"/>
      <c r="AI201" s="2259"/>
      <c r="AJ201" s="2259"/>
      <c r="AK201" s="2259"/>
      <c r="AL201" s="2259"/>
      <c r="AM201" s="2259"/>
      <c r="AN201" s="2259"/>
      <c r="AO201" s="2259"/>
      <c r="AP201" s="2259"/>
      <c r="AQ201" s="2259"/>
      <c r="AR201" s="2259"/>
      <c r="AS201" s="2259"/>
      <c r="AT201" s="2260"/>
      <c r="AU201" s="1274" t="s">
        <v>555</v>
      </c>
      <c r="AV201" s="1658"/>
      <c r="AW201" s="1640"/>
      <c r="AX201" s="1640" t="str">
        <f>IF(T201="","",T201)</f>
        <v>Источник тепловой энергии  </v>
      </c>
      <c r="AY201" s="1640"/>
      <c r="AZ201" s="1640"/>
      <c r="BA201" s="1651">
        <v>0</v>
      </c>
    </row>
    <row s="638" customFormat="1" customHeight="1" ht="0.75">
      <c r="A202" s="1359"/>
      <c r="B202" s="1359"/>
      <c r="C202" s="1359"/>
      <c r="D202" s="1359"/>
      <c r="E202" s="2275"/>
      <c r="F202" s="2275" t="s">
        <v>28</v>
      </c>
      <c r="G202" s="2275"/>
      <c r="H202" s="2275"/>
      <c r="I202" s="2272" t="str">
        <f>S201&amp;".1"</f>
        <v>1.11.1.1.1</v>
      </c>
      <c r="J202" s="1359"/>
      <c r="K202" s="1359"/>
      <c r="L202" s="1561" t="s">
        <v>556</v>
      </c>
      <c r="M202" s="526"/>
      <c r="N202" s="526"/>
      <c r="O202" s="526"/>
      <c r="P202" s="2390">
        <v>1</v>
      </c>
      <c r="Q202" s="2390"/>
      <c r="R202" s="372"/>
      <c r="S202" s="2320"/>
      <c r="T202" s="1399"/>
      <c r="U202" s="1400"/>
      <c r="V202" s="2313"/>
      <c r="W202" s="2313"/>
      <c r="X202" s="2313"/>
      <c r="Y202" s="2313"/>
      <c r="Z202" s="2313"/>
      <c r="AA202" s="2314"/>
      <c r="AB202" s="2312"/>
      <c r="AC202" s="2313"/>
      <c r="AD202" s="2313"/>
      <c r="AE202" s="2313"/>
      <c r="AF202" s="2313"/>
      <c r="AG202" s="2313"/>
      <c r="AH202" s="2313"/>
      <c r="AI202" s="2313"/>
      <c r="AJ202" s="2313"/>
      <c r="AK202" s="2313"/>
      <c r="AL202" s="2313"/>
      <c r="AM202" s="2313"/>
      <c r="AN202" s="2313"/>
      <c r="AO202" s="2313"/>
      <c r="AP202" s="2313"/>
      <c r="AQ202" s="2313"/>
      <c r="AR202" s="2313"/>
      <c r="AS202" s="2313"/>
      <c r="AT202" s="2314"/>
      <c r="AU202" s="1401"/>
      <c r="AV202" s="1658"/>
      <c r="AW202" s="1640"/>
      <c r="AX202" s="1640" t="str">
        <f>IF(T202="","",T202)</f>
        <v/>
      </c>
      <c r="AY202" s="1640"/>
      <c r="AZ202" s="1640"/>
      <c r="BA202" s="1658">
        <v>0</v>
      </c>
    </row>
    <row s="638" customFormat="1" customHeight="1" ht="0.75">
      <c r="A203" s="1359"/>
      <c r="B203" s="1359"/>
      <c r="C203" s="1359"/>
      <c r="D203" s="1359"/>
      <c r="E203" s="2275"/>
      <c r="F203" s="2275" t="s">
        <v>28</v>
      </c>
      <c r="G203" s="2275"/>
      <c r="H203" s="2275"/>
      <c r="I203" s="2302"/>
      <c r="J203" s="2272" t="str">
        <f>S201&amp;".1"</f>
        <v>1.11.1.1.1</v>
      </c>
      <c r="K203" s="1359"/>
      <c r="L203" s="1561"/>
      <c r="M203" s="526"/>
      <c r="N203" s="526"/>
      <c r="O203" s="526"/>
      <c r="P203" s="2390"/>
      <c r="Q203" s="2390">
        <v>1</v>
      </c>
      <c r="R203" s="373"/>
      <c r="S203" s="2320"/>
      <c r="T203" s="1415"/>
      <c r="U203" s="1400"/>
      <c r="V203" s="2313"/>
      <c r="W203" s="2313"/>
      <c r="X203" s="2313"/>
      <c r="Y203" s="2313"/>
      <c r="Z203" s="2313"/>
      <c r="AA203" s="2314"/>
      <c r="AB203" s="2312"/>
      <c r="AC203" s="2313"/>
      <c r="AD203" s="2313"/>
      <c r="AE203" s="2313"/>
      <c r="AF203" s="2313"/>
      <c r="AG203" s="2313"/>
      <c r="AH203" s="2313"/>
      <c r="AI203" s="2313"/>
      <c r="AJ203" s="2313"/>
      <c r="AK203" s="2313"/>
      <c r="AL203" s="2313"/>
      <c r="AM203" s="2313"/>
      <c r="AN203" s="2313"/>
      <c r="AO203" s="2313"/>
      <c r="AP203" s="2313"/>
      <c r="AQ203" s="2313"/>
      <c r="AR203" s="2313"/>
      <c r="AS203" s="2313"/>
      <c r="AT203" s="2314"/>
      <c r="AU203" s="1401"/>
      <c r="AV203" s="1658"/>
      <c r="AW203" s="1640"/>
      <c r="AX203" s="1640" t="str">
        <f>IF(T203="","",T203)</f>
        <v/>
      </c>
      <c r="AY203" s="1640"/>
      <c r="AZ203" s="1640"/>
      <c r="BA203" s="1658">
        <v>0</v>
      </c>
    </row>
    <row s="1866" customFormat="1" customHeight="1" ht="21">
      <c r="A204" s="1379"/>
      <c r="B204" s="1379"/>
      <c r="C204" s="1379"/>
      <c r="D204" s="1379"/>
      <c r="E204" s="2275"/>
      <c r="F204" s="2275" t="s">
        <v>28</v>
      </c>
      <c r="G204" s="2275"/>
      <c r="H204" s="2275"/>
      <c r="I204" s="2302"/>
      <c r="J204" s="2302"/>
      <c r="K204" s="2272" t="str">
        <f>S201&amp;".1"</f>
        <v>1.11.1.1.1</v>
      </c>
      <c r="L204" s="1385"/>
      <c r="M204" s="1792"/>
      <c r="N204" s="1792"/>
      <c r="O204" s="1792"/>
      <c r="P204" s="2390"/>
      <c r="Q204" s="2390"/>
      <c r="R204" s="2363">
        <v>1</v>
      </c>
      <c r="S204" s="2357" t="str">
        <f>$K204</f>
        <v>1.11.1.1.1</v>
      </c>
      <c r="T204" s="2360" t="s">
        <v>630</v>
      </c>
      <c r="U204" s="316"/>
      <c r="V204" s="767"/>
      <c r="W204" s="1273"/>
      <c r="X204" s="2618"/>
      <c r="Y204" s="2123" t="s">
        <v>64</v>
      </c>
      <c r="Z204" s="2618"/>
      <c r="AA204" s="2123" t="s">
        <v>64</v>
      </c>
      <c r="AB204" s="2123" t="s">
        <v>19</v>
      </c>
      <c r="AC204" s="2342"/>
      <c r="AD204" s="2453">
        <v>1</v>
      </c>
      <c r="AE204" s="2364" t="s">
        <v>28</v>
      </c>
      <c r="AF204" s="2123" t="s">
        <v>19</v>
      </c>
      <c r="AG204" s="2342"/>
      <c r="AH204" s="2453">
        <v>1</v>
      </c>
      <c r="AI204" s="2364" t="s">
        <v>28</v>
      </c>
      <c r="AJ204" s="2123" t="s">
        <v>19</v>
      </c>
      <c r="AK204" s="327"/>
      <c r="AL204" s="2453">
        <v>1</v>
      </c>
      <c r="AM204" s="1540" t="s">
        <v>28</v>
      </c>
      <c r="AN204" s="767"/>
      <c r="AO204" s="1273">
        <v>248.688</v>
      </c>
      <c r="AP204" s="2618">
        <v>45856</v>
      </c>
      <c r="AQ204" s="2123" t="s">
        <v>64</v>
      </c>
      <c r="AR204" s="2618">
        <v>46022</v>
      </c>
      <c r="AS204" s="2123" t="s">
        <v>64</v>
      </c>
      <c r="AT204" s="1364"/>
      <c r="AU204" s="2269" t="s">
        <v>613</v>
      </c>
      <c r="AV204" s="1658">
        <f>STRCHECKDATE(V207:AT207)</f>
      </c>
      <c r="AW204" s="1640"/>
      <c r="AX204" s="1640" t="str">
        <f>IF(T204="","",T204)</f>
        <v>Котельная</v>
      </c>
      <c r="AY204" s="1640"/>
      <c r="AZ204" s="1640"/>
      <c r="BA204" s="1651">
        <v>0</v>
      </c>
    </row>
    <row s="1866" customFormat="1" customHeight="1" ht="11.25">
      <c r="A205" s="1379"/>
      <c r="B205" s="1379"/>
      <c r="C205" s="1379"/>
      <c r="D205" s="1379"/>
      <c r="E205" s="2275"/>
      <c r="F205" s="2275" t="s">
        <v>28</v>
      </c>
      <c r="G205" s="2275"/>
      <c r="H205" s="2275"/>
      <c r="I205" s="2302"/>
      <c r="J205" s="2302"/>
      <c r="K205" s="2272"/>
      <c r="L205" s="1385"/>
      <c r="M205" s="1792"/>
      <c r="N205" s="1792"/>
      <c r="O205" s="1792"/>
      <c r="P205" s="2390"/>
      <c r="Q205" s="2390"/>
      <c r="R205" s="2363"/>
      <c r="S205" s="2358"/>
      <c r="T205" s="2361"/>
      <c r="U205" s="316"/>
      <c r="V205" s="3764"/>
      <c r="W205" s="3765"/>
      <c r="X205" s="2618"/>
      <c r="Y205" s="2123"/>
      <c r="Z205" s="2618"/>
      <c r="AA205" s="2123"/>
      <c r="AB205" s="2123"/>
      <c r="AC205" s="2342"/>
      <c r="AD205" s="2453"/>
      <c r="AE205" s="2364" t="s">
        <v>28</v>
      </c>
      <c r="AF205" s="2123"/>
      <c r="AG205" s="2342"/>
      <c r="AH205" s="2453"/>
      <c r="AI205" s="2364" t="s">
        <v>28</v>
      </c>
      <c r="AJ205" s="2123"/>
      <c r="AK205" s="3766"/>
      <c r="AL205" s="3767"/>
      <c r="AM205" s="3768" t="s">
        <v>614</v>
      </c>
      <c r="AN205" s="3769"/>
      <c r="AO205" s="3770"/>
      <c r="AP205" s="3771"/>
      <c r="AQ205" s="3772"/>
      <c r="AR205" s="3773"/>
      <c r="AS205" s="3774"/>
      <c r="AT205" s="1406"/>
      <c r="AU205" s="2270"/>
      <c r="AV205" s="1658"/>
      <c r="AW205" s="1640"/>
      <c r="AX205" s="1640"/>
      <c r="AY205" s="1640"/>
      <c r="AZ205" s="1640"/>
      <c r="BA205" s="1651">
        <v>0</v>
      </c>
    </row>
    <row s="1866" customFormat="1" customHeight="1" ht="11.25">
      <c r="A206" s="1379"/>
      <c r="B206" s="1379"/>
      <c r="C206" s="1379"/>
      <c r="D206" s="1379"/>
      <c r="E206" s="2275"/>
      <c r="F206" s="2275" t="s">
        <v>28</v>
      </c>
      <c r="G206" s="2275"/>
      <c r="H206" s="2275"/>
      <c r="I206" s="2302"/>
      <c r="J206" s="2302"/>
      <c r="K206" s="2272"/>
      <c r="L206" s="1385"/>
      <c r="M206" s="1792"/>
      <c r="N206" s="1792"/>
      <c r="O206" s="1792"/>
      <c r="P206" s="2390"/>
      <c r="Q206" s="2390"/>
      <c r="R206" s="2363"/>
      <c r="S206" s="2358"/>
      <c r="T206" s="2361"/>
      <c r="U206" s="316"/>
      <c r="V206" s="3775"/>
      <c r="W206" s="3776"/>
      <c r="X206" s="2618"/>
      <c r="Y206" s="2123"/>
      <c r="Z206" s="2618"/>
      <c r="AA206" s="2123"/>
      <c r="AB206" s="2123"/>
      <c r="AC206" s="2342"/>
      <c r="AD206" s="2453"/>
      <c r="AE206" s="2364" t="s">
        <v>28</v>
      </c>
      <c r="AF206" s="2123"/>
      <c r="AG206" s="3777"/>
      <c r="AH206" s="3778"/>
      <c r="AI206" s="3779" t="s">
        <v>615</v>
      </c>
      <c r="AJ206" s="3780"/>
      <c r="AK206" s="3781"/>
      <c r="AL206" s="3782"/>
      <c r="AM206" s="3783"/>
      <c r="AN206" s="3784"/>
      <c r="AO206" s="3785"/>
      <c r="AP206" s="3786"/>
      <c r="AQ206" s="3787"/>
      <c r="AR206" s="3788"/>
      <c r="AS206" s="3789"/>
      <c r="AT206" s="1406"/>
      <c r="AU206" s="2270"/>
      <c r="AV206" s="1658"/>
      <c r="AW206" s="1640"/>
      <c r="AX206" s="1640"/>
      <c r="AY206" s="1640"/>
      <c r="AZ206" s="1640"/>
      <c r="BA206" s="1651">
        <v>0</v>
      </c>
    </row>
    <row s="1866" customFormat="1" customHeight="1" ht="11.25">
      <c r="A207" s="1379"/>
      <c r="B207" s="1379"/>
      <c r="C207" s="1379"/>
      <c r="D207" s="1379"/>
      <c r="E207" s="2275"/>
      <c r="F207" s="2275" t="s">
        <v>28</v>
      </c>
      <c r="G207" s="2275"/>
      <c r="H207" s="2275"/>
      <c r="I207" s="2302"/>
      <c r="J207" s="2302"/>
      <c r="K207" s="2272"/>
      <c r="L207" s="1385"/>
      <c r="M207" s="1792"/>
      <c r="N207" s="1792"/>
      <c r="O207" s="1792"/>
      <c r="P207" s="2390"/>
      <c r="Q207" s="2390"/>
      <c r="R207" s="2363"/>
      <c r="S207" s="2359"/>
      <c r="T207" s="2362"/>
      <c r="U207" s="316"/>
      <c r="V207" s="3790"/>
      <c r="W207" s="3791" t="str">
        <f>X204&amp;"-"&amp;Z204</f>
        <v>-</v>
      </c>
      <c r="X207" s="2325"/>
      <c r="Y207" s="2123"/>
      <c r="Z207" s="2325"/>
      <c r="AA207" s="2123"/>
      <c r="AB207" s="2123"/>
      <c r="AC207" s="3792"/>
      <c r="AD207" s="3793"/>
      <c r="AE207" s="3794" t="s">
        <v>616</v>
      </c>
      <c r="AF207" s="3795"/>
      <c r="AG207" s="3796"/>
      <c r="AH207" s="3797"/>
      <c r="AI207" s="3798"/>
      <c r="AJ207" s="3799"/>
      <c r="AK207" s="3800"/>
      <c r="AL207" s="3801"/>
      <c r="AM207" s="3802"/>
      <c r="AN207" s="3803"/>
      <c r="AO207" s="3804" t="str">
        <f>AP204&amp;"-"&amp;AR204</f>
        <v>45856-46022</v>
      </c>
      <c r="AP207" s="3805"/>
      <c r="AQ207" s="3806"/>
      <c r="AR207" s="3807"/>
      <c r="AS207" s="3808"/>
      <c r="AT207" s="1365"/>
      <c r="AU207" s="2270"/>
      <c r="AV207" s="1658"/>
      <c r="AW207" s="1640"/>
      <c r="AX207" s="1640" t="str">
        <f>IF(T207="","",T207)</f>
        <v/>
      </c>
      <c r="AY207" s="1640"/>
      <c r="AZ207" s="1640"/>
      <c r="BA207" s="1651">
        <v>0</v>
      </c>
    </row>
    <row s="1866" customFormat="1" customHeight="1" ht="11.25">
      <c r="A208" s="1379"/>
      <c r="B208" s="1379"/>
      <c r="C208" s="1379"/>
      <c r="D208" s="1379"/>
      <c r="E208" s="2275"/>
      <c r="F208" s="2275" t="s">
        <v>28</v>
      </c>
      <c r="G208" s="2275"/>
      <c r="H208" s="2275"/>
      <c r="I208" s="2302"/>
      <c r="J208" s="2272"/>
      <c r="K208" s="1379"/>
      <c r="L208" s="1385"/>
      <c r="M208" s="1792"/>
      <c r="N208" s="1792"/>
      <c r="O208" s="1792"/>
      <c r="P208" s="2390"/>
      <c r="Q208" s="2390"/>
      <c r="R208" s="372"/>
      <c r="S208" s="3809"/>
      <c r="T208" s="3810" t="s">
        <v>617</v>
      </c>
      <c r="U208" s="3811"/>
      <c r="V208" s="3812"/>
      <c r="W208" s="3813"/>
      <c r="X208" s="3814"/>
      <c r="Y208" s="3815"/>
      <c r="Z208" s="3816"/>
      <c r="AA208" s="3817"/>
      <c r="AB208" s="3818"/>
      <c r="AC208" s="3819"/>
      <c r="AD208" s="3820"/>
      <c r="AE208" s="3821"/>
      <c r="AF208" s="3822"/>
      <c r="AG208" s="3823"/>
      <c r="AH208" s="3824"/>
      <c r="AI208" s="3825"/>
      <c r="AJ208" s="3826"/>
      <c r="AK208" s="3827"/>
      <c r="AL208" s="3828"/>
      <c r="AM208" s="3829"/>
      <c r="AN208" s="3830"/>
      <c r="AO208" s="3831"/>
      <c r="AP208" s="3832"/>
      <c r="AQ208" s="3833"/>
      <c r="AR208" s="3834"/>
      <c r="AS208" s="3835"/>
      <c r="AT208" s="3836"/>
      <c r="AU208" s="2271"/>
      <c r="AV208" s="1658"/>
      <c r="AW208" s="1640"/>
      <c r="AX208" s="1640" t="str">
        <f>IF(T208="","",T208)</f>
        <v>Добавить строку</v>
      </c>
      <c r="AY208" s="1640"/>
      <c r="AZ208" s="1640"/>
      <c r="BA208" s="1651">
        <v>0</v>
      </c>
    </row>
    <row s="638" customFormat="1" customHeight="1" ht="0.75">
      <c r="A209" s="1359"/>
      <c r="B209" s="1359"/>
      <c r="C209" s="1359"/>
      <c r="D209" s="1359"/>
      <c r="E209" s="2275"/>
      <c r="F209" s="2275" t="s">
        <v>28</v>
      </c>
      <c r="G209" s="2275"/>
      <c r="H209" s="2275"/>
      <c r="I209" s="2272"/>
      <c r="J209" s="1359"/>
      <c r="K209" s="1359"/>
      <c r="L209" s="1561"/>
      <c r="M209" s="526"/>
      <c r="N209" s="526"/>
      <c r="O209" s="526"/>
      <c r="P209" s="2390"/>
      <c r="Q209" s="2390"/>
      <c r="R209" s="372"/>
      <c r="S209" s="1402"/>
      <c r="T209" s="1403"/>
      <c r="U209" s="1404"/>
      <c r="V209" s="1404"/>
      <c r="W209" s="1404"/>
      <c r="X209" s="1404"/>
      <c r="Y209" s="1404"/>
      <c r="Z209" s="1404"/>
      <c r="AA209" s="1404"/>
      <c r="AB209" s="1404"/>
      <c r="AC209" s="1404"/>
      <c r="AD209" s="1404"/>
      <c r="AE209" s="1404"/>
      <c r="AF209" s="1404"/>
      <c r="AG209" s="1404"/>
      <c r="AH209" s="1404"/>
      <c r="AI209" s="1404"/>
      <c r="AJ209" s="1404"/>
      <c r="AK209" s="1404"/>
      <c r="AL209" s="1404"/>
      <c r="AM209" s="1404"/>
      <c r="AN209" s="1404"/>
      <c r="AO209" s="1404"/>
      <c r="AP209" s="1404"/>
      <c r="AQ209" s="1404"/>
      <c r="AR209" s="1404"/>
      <c r="AS209" s="1404"/>
      <c r="AT209" s="1404"/>
      <c r="AU209" s="1405"/>
      <c r="AV209" s="1658"/>
      <c r="AW209" s="1640"/>
      <c r="AX209" s="1640" t="str">
        <f>IF(T209="","",T209)</f>
        <v/>
      </c>
      <c r="AY209" s="1640"/>
      <c r="AZ209" s="1640"/>
      <c r="BA209" s="1658">
        <v>0</v>
      </c>
    </row>
    <row s="638" customFormat="1" customHeight="1" ht="0.75">
      <c r="A210" s="1359"/>
      <c r="B210" s="1359"/>
      <c r="C210" s="1359"/>
      <c r="D210" s="1359"/>
      <c r="E210" s="2275"/>
      <c r="F210" s="2275" t="s">
        <v>28</v>
      </c>
      <c r="G210" s="2275"/>
      <c r="H210" s="2274"/>
      <c r="I210" s="1359"/>
      <c r="J210" s="1359"/>
      <c r="K210" s="1359"/>
      <c r="L210" s="1561"/>
      <c r="M210" s="1331"/>
      <c r="N210" s="1331"/>
      <c r="O210" s="1658"/>
      <c r="P210" s="1332"/>
      <c r="Q210" s="1360"/>
      <c r="R210" s="1417"/>
      <c r="S210" s="1402"/>
      <c r="T210" s="1403"/>
      <c r="U210" s="1404"/>
      <c r="V210" s="1404"/>
      <c r="W210" s="1404"/>
      <c r="X210" s="1404"/>
      <c r="Y210" s="1404"/>
      <c r="Z210" s="1404"/>
      <c r="AA210" s="1404"/>
      <c r="AB210" s="1404"/>
      <c r="AC210" s="1404"/>
      <c r="AD210" s="1404"/>
      <c r="AE210" s="1404"/>
      <c r="AF210" s="1404"/>
      <c r="AG210" s="1404"/>
      <c r="AH210" s="1404"/>
      <c r="AI210" s="1404"/>
      <c r="AJ210" s="1404"/>
      <c r="AK210" s="1404"/>
      <c r="AL210" s="1404"/>
      <c r="AM210" s="1404"/>
      <c r="AN210" s="1404"/>
      <c r="AO210" s="1404"/>
      <c r="AP210" s="1404"/>
      <c r="AQ210" s="1404"/>
      <c r="AR210" s="1404"/>
      <c r="AS210" s="1404"/>
      <c r="AT210" s="1404"/>
      <c r="AU210" s="1405"/>
      <c r="AV210" s="1658"/>
      <c r="AW210" s="1640"/>
      <c r="AX210" s="1640" t="str">
        <f>IF(T210="","",T210)</f>
        <v/>
      </c>
      <c r="AY210" s="1640"/>
      <c r="AZ210" s="1640"/>
      <c r="BA210" s="1658">
        <v>0</v>
      </c>
    </row>
    <row s="638" customFormat="1" customHeight="1" ht="0.75">
      <c r="A211" s="1359"/>
      <c r="B211" s="1359"/>
      <c r="C211" s="1359"/>
      <c r="D211" s="1359"/>
      <c r="E211" s="2275"/>
      <c r="F211" s="2275" t="s">
        <v>28</v>
      </c>
      <c r="G211" s="2274"/>
      <c r="H211" s="1359"/>
      <c r="I211" s="1359"/>
      <c r="J211" s="1359"/>
      <c r="K211" s="1359"/>
      <c r="L211" s="1561"/>
      <c r="M211" s="1331"/>
      <c r="N211" s="1331"/>
      <c r="O211" s="1658"/>
      <c r="P211" s="1332"/>
      <c r="Q211" s="1360"/>
      <c r="R211" s="1332"/>
      <c r="S211" s="1338"/>
      <c r="T211" s="1341" t="s">
        <v>268</v>
      </c>
      <c r="U211" s="1340"/>
      <c r="V211" s="1340"/>
      <c r="W211" s="1340"/>
      <c r="X211" s="1340"/>
      <c r="Y211" s="1340"/>
      <c r="Z211" s="1340"/>
      <c r="AA211" s="1340"/>
      <c r="AB211" s="1340"/>
      <c r="AC211" s="1340"/>
      <c r="AD211" s="1340"/>
      <c r="AE211" s="1340"/>
      <c r="AF211" s="1340"/>
      <c r="AG211" s="1340"/>
      <c r="AH211" s="1340"/>
      <c r="AI211" s="1340"/>
      <c r="AJ211" s="1340"/>
      <c r="AK211" s="1340"/>
      <c r="AL211" s="1340"/>
      <c r="AM211" s="1340"/>
      <c r="AN211" s="1340"/>
      <c r="AO211" s="1340"/>
      <c r="AP211" s="1340"/>
      <c r="AQ211" s="1340"/>
      <c r="AR211" s="1340"/>
      <c r="AS211" s="1340"/>
      <c r="AT211" s="1340"/>
      <c r="AU211" s="1340"/>
      <c r="AV211" s="1658"/>
      <c r="AW211" s="1640"/>
      <c r="AX211" s="1640" t="str">
        <f>IF(T211="","",T211)</f>
        <v>Добавить источник для дифференциации</v>
      </c>
      <c r="AY211" s="1640"/>
      <c r="AZ211" s="1640"/>
      <c r="BA211" s="1658">
        <v>0</v>
      </c>
    </row>
    <row s="638" customFormat="1" customHeight="1" ht="0.75">
      <c r="A212" s="1359"/>
      <c r="B212" s="1359"/>
      <c r="C212" s="1359"/>
      <c r="D212" s="1359"/>
      <c r="E212" s="2275"/>
      <c r="F212" s="2274" t="s">
        <v>28</v>
      </c>
      <c r="G212" s="1359"/>
      <c r="H212" s="1359"/>
      <c r="I212" s="1359"/>
      <c r="J212" s="1359"/>
      <c r="K212" s="1359"/>
      <c r="L212" s="1561"/>
      <c r="M212" s="1337"/>
      <c r="N212" s="1337"/>
      <c r="O212" s="1658"/>
      <c r="P212" s="1332"/>
      <c r="Q212" s="1360"/>
      <c r="R212" s="1332"/>
      <c r="S212" s="1338"/>
      <c r="T212" s="1341" t="s">
        <v>269</v>
      </c>
      <c r="U212" s="1340"/>
      <c r="V212" s="1340"/>
      <c r="W212" s="1340"/>
      <c r="X212" s="1340"/>
      <c r="Y212" s="1340"/>
      <c r="Z212" s="1340"/>
      <c r="AA212" s="1340"/>
      <c r="AB212" s="1340"/>
      <c r="AC212" s="1340"/>
      <c r="AD212" s="1340"/>
      <c r="AE212" s="1340"/>
      <c r="AF212" s="1340"/>
      <c r="AG212" s="1340"/>
      <c r="AH212" s="1340"/>
      <c r="AI212" s="1340"/>
      <c r="AJ212" s="1340"/>
      <c r="AK212" s="1340"/>
      <c r="AL212" s="1340"/>
      <c r="AM212" s="1340"/>
      <c r="AN212" s="1340"/>
      <c r="AO212" s="1340"/>
      <c r="AP212" s="1340"/>
      <c r="AQ212" s="1340"/>
      <c r="AR212" s="1340"/>
      <c r="AS212" s="1340"/>
      <c r="AT212" s="1340"/>
      <c r="AU212" s="1340"/>
      <c r="AV212" s="1658"/>
      <c r="AW212" s="1640"/>
      <c r="AX212" s="1640" t="str">
        <f>IF(T212="","",T212)</f>
        <v>Добавить централизованную систему для дифференциации</v>
      </c>
      <c r="AY212" s="1640"/>
      <c r="AZ212" s="1640"/>
      <c r="BA212" s="1658">
        <v>0</v>
      </c>
    </row>
    <row s="1866" customFormat="1" customHeight="1" ht="21">
      <c r="A213" s="1379"/>
      <c r="B213" s="1379" t="s">
        <v>312</v>
      </c>
      <c r="C213" s="1379"/>
      <c r="D213" s="1379"/>
      <c r="E213" s="2275"/>
      <c r="F213" s="2274" t="s">
        <v>28</v>
      </c>
      <c r="G213" s="1379"/>
      <c r="H213" s="1379"/>
      <c r="I213" s="1379"/>
      <c r="J213" s="1379"/>
      <c r="K213" s="1379"/>
      <c r="L213" s="1385"/>
      <c r="M213" s="1381"/>
      <c r="N213" s="1381"/>
      <c r="O213" s="1381"/>
      <c r="P213" s="2623"/>
      <c r="Q213" s="1427"/>
      <c r="R213" s="369"/>
      <c r="S213" s="2289" t="str">
        <f>INDEX(PT_DIFFERENTIATION_NUM_TER,MATCH(B213,PT_DIFFERENTIATION_TER_ID,0))</f>
        <v>1.12</v>
      </c>
      <c r="T213" s="1538" t="s">
        <v>550</v>
      </c>
      <c r="U213" s="316"/>
      <c r="V213" s="2259"/>
      <c r="W213" s="2259"/>
      <c r="X213" s="2259"/>
      <c r="Y213" s="2259"/>
      <c r="Z213" s="2259"/>
      <c r="AA213" s="2260"/>
      <c r="AB213" s="2258" t="str">
        <f>INDEX(PT_DIFFERENTIATION_TER,MATCH(B213,PT_DIFFERENTIATION_TER_ID,0))</f>
        <v>Территория 12</v>
      </c>
      <c r="AC213" s="2259"/>
      <c r="AD213" s="2259"/>
      <c r="AE213" s="2259"/>
      <c r="AF213" s="2259"/>
      <c r="AG213" s="2259"/>
      <c r="AH213" s="2259"/>
      <c r="AI213" s="2259"/>
      <c r="AJ213" s="2259"/>
      <c r="AK213" s="2259"/>
      <c r="AL213" s="2259"/>
      <c r="AM213" s="2259"/>
      <c r="AN213" s="2259"/>
      <c r="AO213" s="2259"/>
      <c r="AP213" s="2259"/>
      <c r="AQ213" s="2259"/>
      <c r="AR213" s="2259"/>
      <c r="AS213" s="2259"/>
      <c r="AT213" s="2260"/>
      <c r="AU213" s="1274" t="s">
        <v>551</v>
      </c>
      <c r="AV213" s="1658"/>
      <c r="AW213" s="1640"/>
      <c r="AX213" s="1640" t="str">
        <f>IF(T213="","",T213)</f>
        <v>Территория действия тарифа</v>
      </c>
      <c r="AY213" s="1640"/>
      <c r="AZ213" s="1640"/>
      <c r="BA213" s="1651">
        <v>0</v>
      </c>
    </row>
    <row s="1866" customFormat="1" customHeight="1" ht="22.5">
      <c r="A214" s="1379"/>
      <c r="B214" s="1379"/>
      <c r="C214" s="1379" t="s">
        <v>313</v>
      </c>
      <c r="D214" s="1379"/>
      <c r="E214" s="2275"/>
      <c r="F214" s="2275" t="s">
        <v>28</v>
      </c>
      <c r="G214" s="2274">
        <v>1</v>
      </c>
      <c r="H214" s="1379"/>
      <c r="I214" s="1379"/>
      <c r="J214" s="1379"/>
      <c r="K214" s="1379"/>
      <c r="L214" s="1385"/>
      <c r="M214" s="1381"/>
      <c r="N214" s="1381"/>
      <c r="O214" s="1381"/>
      <c r="P214" s="1428"/>
      <c r="Q214" s="1427"/>
      <c r="R214" s="369"/>
      <c r="S214" s="2289" t="str">
        <f>INDEX(PT_DIFFERENTIATION_NUM_CS,MATCH(C214,PT_DIFFERENTIATION_CS_ID,0))</f>
        <v>1.12.1</v>
      </c>
      <c r="T214" s="325" t="s">
        <v>552</v>
      </c>
      <c r="U214" s="316"/>
      <c r="V214" s="2259"/>
      <c r="W214" s="2259"/>
      <c r="X214" s="2259"/>
      <c r="Y214" s="2259"/>
      <c r="Z214" s="2259"/>
      <c r="AA214" s="2260"/>
      <c r="AB214" s="2258" t="str">
        <f>INDEX(PT_DIFFERENTIATION_CS,MATCH(C214,PT_DIFFERENTIATION_CS_ID,0))</f>
        <v>с. Спасское, муниципального округа Спасск-Дальний</v>
      </c>
      <c r="AC214" s="2259"/>
      <c r="AD214" s="2259"/>
      <c r="AE214" s="2259"/>
      <c r="AF214" s="2259"/>
      <c r="AG214" s="2259"/>
      <c r="AH214" s="2259"/>
      <c r="AI214" s="2259"/>
      <c r="AJ214" s="2259"/>
      <c r="AK214" s="2259"/>
      <c r="AL214" s="2259"/>
      <c r="AM214" s="2259"/>
      <c r="AN214" s="2259"/>
      <c r="AO214" s="2259"/>
      <c r="AP214" s="2259"/>
      <c r="AQ214" s="2259"/>
      <c r="AR214" s="2259"/>
      <c r="AS214" s="2259"/>
      <c r="AT214" s="2260"/>
      <c r="AU214" s="1274" t="s">
        <v>553</v>
      </c>
      <c r="AV214" s="1658"/>
      <c r="AW214" s="1640"/>
      <c r="AX214" s="1640" t="str">
        <f>IF(T214="","",T214)</f>
        <v>Наименование системы теплоснабжения </v>
      </c>
      <c r="AY214" s="1640"/>
      <c r="AZ214" s="1640"/>
      <c r="BA214" s="1651">
        <v>0</v>
      </c>
    </row>
    <row s="1866" customFormat="1" customHeight="1" ht="21">
      <c r="A215" s="1379"/>
      <c r="B215" s="1379"/>
      <c r="C215" s="1379"/>
      <c r="D215" s="1379" t="s">
        <v>314</v>
      </c>
      <c r="E215" s="2275"/>
      <c r="F215" s="2275" t="s">
        <v>28</v>
      </c>
      <c r="G215" s="2275"/>
      <c r="H215" s="2274">
        <v>1</v>
      </c>
      <c r="I215" s="1379"/>
      <c r="J215" s="1379"/>
      <c r="K215" s="1379"/>
      <c r="L215" s="1385"/>
      <c r="M215" s="1381"/>
      <c r="N215" s="1381"/>
      <c r="O215" s="1381"/>
      <c r="P215" s="1428"/>
      <c r="Q215" s="1427"/>
      <c r="R215" s="369"/>
      <c r="S215" s="2289" t="str">
        <f>INDEX(PT_DIFFERENTIATION_NUM_IST_TE,MATCH(D215,PT_DIFFERENTIATION_IST_TE_ID,0))</f>
        <v>1.12.1.1</v>
      </c>
      <c r="T215" s="326" t="s">
        <v>554</v>
      </c>
      <c r="U215" s="316"/>
      <c r="V215" s="2259"/>
      <c r="W215" s="2259"/>
      <c r="X215" s="2259"/>
      <c r="Y215" s="2259"/>
      <c r="Z215" s="2259"/>
      <c r="AA215" s="2260"/>
      <c r="AB215" s="2258" t="str">
        <f>INDEX(PT_DIFFERENTIATION_IST_TE,MATCH(D215,PT_DIFFERENTIATION_IST_TE_ID,0))</f>
        <v>без дифференциации</v>
      </c>
      <c r="AC215" s="2259"/>
      <c r="AD215" s="2259"/>
      <c r="AE215" s="2259"/>
      <c r="AF215" s="2259"/>
      <c r="AG215" s="2259"/>
      <c r="AH215" s="2259"/>
      <c r="AI215" s="2259"/>
      <c r="AJ215" s="2259"/>
      <c r="AK215" s="2259"/>
      <c r="AL215" s="2259"/>
      <c r="AM215" s="2259"/>
      <c r="AN215" s="2259"/>
      <c r="AO215" s="2259"/>
      <c r="AP215" s="2259"/>
      <c r="AQ215" s="2259"/>
      <c r="AR215" s="2259"/>
      <c r="AS215" s="2259"/>
      <c r="AT215" s="2260"/>
      <c r="AU215" s="1274" t="s">
        <v>555</v>
      </c>
      <c r="AV215" s="1658"/>
      <c r="AW215" s="1640"/>
      <c r="AX215" s="1640" t="str">
        <f>IF(T215="","",T215)</f>
        <v>Источник тепловой энергии  </v>
      </c>
      <c r="AY215" s="1640"/>
      <c r="AZ215" s="1640"/>
      <c r="BA215" s="1651">
        <v>0</v>
      </c>
    </row>
    <row s="638" customFormat="1" customHeight="1" ht="0.75">
      <c r="A216" s="1359"/>
      <c r="B216" s="1359"/>
      <c r="C216" s="1359"/>
      <c r="D216" s="1359"/>
      <c r="E216" s="2275"/>
      <c r="F216" s="2275" t="s">
        <v>28</v>
      </c>
      <c r="G216" s="2275"/>
      <c r="H216" s="2275"/>
      <c r="I216" s="2272" t="str">
        <f>S215&amp;".1"</f>
        <v>1.12.1.1.1</v>
      </c>
      <c r="J216" s="1359"/>
      <c r="K216" s="1359"/>
      <c r="L216" s="1561" t="s">
        <v>556</v>
      </c>
      <c r="M216" s="526"/>
      <c r="N216" s="526"/>
      <c r="O216" s="526"/>
      <c r="P216" s="2390">
        <v>1</v>
      </c>
      <c r="Q216" s="2390"/>
      <c r="R216" s="372"/>
      <c r="S216" s="2320"/>
      <c r="T216" s="1399"/>
      <c r="U216" s="1400"/>
      <c r="V216" s="2313"/>
      <c r="W216" s="2313"/>
      <c r="X216" s="2313"/>
      <c r="Y216" s="2313"/>
      <c r="Z216" s="2313"/>
      <c r="AA216" s="2314"/>
      <c r="AB216" s="2312"/>
      <c r="AC216" s="2313"/>
      <c r="AD216" s="2313"/>
      <c r="AE216" s="2313"/>
      <c r="AF216" s="2313"/>
      <c r="AG216" s="2313"/>
      <c r="AH216" s="2313"/>
      <c r="AI216" s="2313"/>
      <c r="AJ216" s="2313"/>
      <c r="AK216" s="2313"/>
      <c r="AL216" s="2313"/>
      <c r="AM216" s="2313"/>
      <c r="AN216" s="2313"/>
      <c r="AO216" s="2313"/>
      <c r="AP216" s="2313"/>
      <c r="AQ216" s="2313"/>
      <c r="AR216" s="2313"/>
      <c r="AS216" s="2313"/>
      <c r="AT216" s="2314"/>
      <c r="AU216" s="1401"/>
      <c r="AV216" s="1658"/>
      <c r="AW216" s="1640"/>
      <c r="AX216" s="1640" t="str">
        <f>IF(T216="","",T216)</f>
        <v/>
      </c>
      <c r="AY216" s="1640"/>
      <c r="AZ216" s="1640"/>
      <c r="BA216" s="1658">
        <v>0</v>
      </c>
    </row>
    <row s="638" customFormat="1" customHeight="1" ht="0.75">
      <c r="A217" s="1359"/>
      <c r="B217" s="1359"/>
      <c r="C217" s="1359"/>
      <c r="D217" s="1359"/>
      <c r="E217" s="2275"/>
      <c r="F217" s="2275" t="s">
        <v>28</v>
      </c>
      <c r="G217" s="2275"/>
      <c r="H217" s="2275"/>
      <c r="I217" s="2302"/>
      <c r="J217" s="2272" t="str">
        <f>S215&amp;".1"</f>
        <v>1.12.1.1.1</v>
      </c>
      <c r="K217" s="1359"/>
      <c r="L217" s="1561"/>
      <c r="M217" s="526"/>
      <c r="N217" s="526"/>
      <c r="O217" s="526"/>
      <c r="P217" s="2390"/>
      <c r="Q217" s="2390">
        <v>1</v>
      </c>
      <c r="R217" s="373"/>
      <c r="S217" s="2320"/>
      <c r="T217" s="1415"/>
      <c r="U217" s="1400"/>
      <c r="V217" s="2313"/>
      <c r="W217" s="2313"/>
      <c r="X217" s="2313"/>
      <c r="Y217" s="2313"/>
      <c r="Z217" s="2313"/>
      <c r="AA217" s="2314"/>
      <c r="AB217" s="2312"/>
      <c r="AC217" s="2313"/>
      <c r="AD217" s="2313"/>
      <c r="AE217" s="2313"/>
      <c r="AF217" s="2313"/>
      <c r="AG217" s="2313"/>
      <c r="AH217" s="2313"/>
      <c r="AI217" s="2313"/>
      <c r="AJ217" s="2313"/>
      <c r="AK217" s="2313"/>
      <c r="AL217" s="2313"/>
      <c r="AM217" s="2313"/>
      <c r="AN217" s="2313"/>
      <c r="AO217" s="2313"/>
      <c r="AP217" s="2313"/>
      <c r="AQ217" s="2313"/>
      <c r="AR217" s="2313"/>
      <c r="AS217" s="2313"/>
      <c r="AT217" s="2314"/>
      <c r="AU217" s="1401"/>
      <c r="AV217" s="1658"/>
      <c r="AW217" s="1640"/>
      <c r="AX217" s="1640" t="str">
        <f>IF(T217="","",T217)</f>
        <v/>
      </c>
      <c r="AY217" s="1640"/>
      <c r="AZ217" s="1640"/>
      <c r="BA217" s="1658">
        <v>0</v>
      </c>
    </row>
    <row s="1866" customFormat="1" customHeight="1" ht="21">
      <c r="A218" s="1379"/>
      <c r="B218" s="1379"/>
      <c r="C218" s="1379"/>
      <c r="D218" s="1379"/>
      <c r="E218" s="2275"/>
      <c r="F218" s="2275" t="s">
        <v>28</v>
      </c>
      <c r="G218" s="2275"/>
      <c r="H218" s="2275"/>
      <c r="I218" s="2302"/>
      <c r="J218" s="2302"/>
      <c r="K218" s="2272" t="str">
        <f>S215&amp;".1"</f>
        <v>1.12.1.1.1</v>
      </c>
      <c r="L218" s="1385"/>
      <c r="M218" s="1792"/>
      <c r="N218" s="1792"/>
      <c r="O218" s="1792"/>
      <c r="P218" s="2390"/>
      <c r="Q218" s="2390"/>
      <c r="R218" s="2363">
        <v>1</v>
      </c>
      <c r="S218" s="2357" t="str">
        <f>$K218</f>
        <v>1.12.1.1.1</v>
      </c>
      <c r="T218" s="2360" t="s">
        <v>630</v>
      </c>
      <c r="U218" s="316"/>
      <c r="V218" s="767"/>
      <c r="W218" s="1273"/>
      <c r="X218" s="2618"/>
      <c r="Y218" s="2123" t="s">
        <v>64</v>
      </c>
      <c r="Z218" s="2618"/>
      <c r="AA218" s="2123" t="s">
        <v>64</v>
      </c>
      <c r="AB218" s="2123" t="s">
        <v>19</v>
      </c>
      <c r="AC218" s="2342"/>
      <c r="AD218" s="2453">
        <v>1</v>
      </c>
      <c r="AE218" s="2364" t="s">
        <v>28</v>
      </c>
      <c r="AF218" s="2123" t="s">
        <v>19</v>
      </c>
      <c r="AG218" s="2342"/>
      <c r="AH218" s="2453">
        <v>1</v>
      </c>
      <c r="AI218" s="2364" t="s">
        <v>28</v>
      </c>
      <c r="AJ218" s="2123" t="s">
        <v>19</v>
      </c>
      <c r="AK218" s="327"/>
      <c r="AL218" s="2453">
        <v>1</v>
      </c>
      <c r="AM218" s="1540" t="s">
        <v>28</v>
      </c>
      <c r="AN218" s="767"/>
      <c r="AO218" s="1273">
        <v>19.2</v>
      </c>
      <c r="AP218" s="2618">
        <v>45866</v>
      </c>
      <c r="AQ218" s="2123" t="s">
        <v>64</v>
      </c>
      <c r="AR218" s="2618">
        <v>46022</v>
      </c>
      <c r="AS218" s="2123" t="s">
        <v>64</v>
      </c>
      <c r="AT218" s="1364"/>
      <c r="AU218" s="2269" t="s">
        <v>613</v>
      </c>
      <c r="AV218" s="1658">
        <f>STRCHECKDATE(V221:AT221)</f>
      </c>
      <c r="AW218" s="1640"/>
      <c r="AX218" s="1640" t="str">
        <f>IF(T218="","",T218)</f>
        <v>Котельная</v>
      </c>
      <c r="AY218" s="1640"/>
      <c r="AZ218" s="1640"/>
      <c r="BA218" s="1651">
        <v>0</v>
      </c>
    </row>
    <row s="1866" customFormat="1" customHeight="1" ht="11.25">
      <c r="A219" s="1379"/>
      <c r="B219" s="1379"/>
      <c r="C219" s="1379"/>
      <c r="D219" s="1379"/>
      <c r="E219" s="2275"/>
      <c r="F219" s="2275" t="s">
        <v>28</v>
      </c>
      <c r="G219" s="2275"/>
      <c r="H219" s="2275"/>
      <c r="I219" s="2302"/>
      <c r="J219" s="2302"/>
      <c r="K219" s="2272"/>
      <c r="L219" s="1385"/>
      <c r="M219" s="1792"/>
      <c r="N219" s="1792"/>
      <c r="O219" s="1792"/>
      <c r="P219" s="2390"/>
      <c r="Q219" s="2390"/>
      <c r="R219" s="2363"/>
      <c r="S219" s="2358"/>
      <c r="T219" s="2361"/>
      <c r="U219" s="316"/>
      <c r="V219" s="3839"/>
      <c r="W219" s="3840"/>
      <c r="X219" s="2618"/>
      <c r="Y219" s="2123"/>
      <c r="Z219" s="2618"/>
      <c r="AA219" s="2123"/>
      <c r="AB219" s="2123"/>
      <c r="AC219" s="2342"/>
      <c r="AD219" s="2453"/>
      <c r="AE219" s="2364" t="s">
        <v>28</v>
      </c>
      <c r="AF219" s="2123"/>
      <c r="AG219" s="2342"/>
      <c r="AH219" s="2453"/>
      <c r="AI219" s="2364" t="s">
        <v>28</v>
      </c>
      <c r="AJ219" s="2123"/>
      <c r="AK219" s="3841"/>
      <c r="AL219" s="3842"/>
      <c r="AM219" s="3843" t="s">
        <v>614</v>
      </c>
      <c r="AN219" s="3844"/>
      <c r="AO219" s="3845"/>
      <c r="AP219" s="3846"/>
      <c r="AQ219" s="3847"/>
      <c r="AR219" s="3848"/>
      <c r="AS219" s="3849"/>
      <c r="AT219" s="1406"/>
      <c r="AU219" s="2270"/>
      <c r="AV219" s="1658"/>
      <c r="AW219" s="1640"/>
      <c r="AX219" s="1640"/>
      <c r="AY219" s="1640"/>
      <c r="AZ219" s="1640"/>
      <c r="BA219" s="1651">
        <v>0</v>
      </c>
    </row>
    <row s="1866" customFormat="1" customHeight="1" ht="11.25">
      <c r="A220" s="1379"/>
      <c r="B220" s="1379"/>
      <c r="C220" s="1379"/>
      <c r="D220" s="1379"/>
      <c r="E220" s="2275"/>
      <c r="F220" s="2275" t="s">
        <v>28</v>
      </c>
      <c r="G220" s="2275"/>
      <c r="H220" s="2275"/>
      <c r="I220" s="2302"/>
      <c r="J220" s="2302"/>
      <c r="K220" s="2272"/>
      <c r="L220" s="1385"/>
      <c r="M220" s="1792"/>
      <c r="N220" s="1792"/>
      <c r="O220" s="1792"/>
      <c r="P220" s="2390"/>
      <c r="Q220" s="2390"/>
      <c r="R220" s="2363"/>
      <c r="S220" s="2358"/>
      <c r="T220" s="2361"/>
      <c r="U220" s="316"/>
      <c r="V220" s="3850"/>
      <c r="W220" s="3851"/>
      <c r="X220" s="2618"/>
      <c r="Y220" s="2123"/>
      <c r="Z220" s="2618"/>
      <c r="AA220" s="2123"/>
      <c r="AB220" s="2123"/>
      <c r="AC220" s="2342"/>
      <c r="AD220" s="2453"/>
      <c r="AE220" s="2364" t="s">
        <v>28</v>
      </c>
      <c r="AF220" s="2123"/>
      <c r="AG220" s="3852"/>
      <c r="AH220" s="3853"/>
      <c r="AI220" s="3854" t="s">
        <v>615</v>
      </c>
      <c r="AJ220" s="3855"/>
      <c r="AK220" s="3856"/>
      <c r="AL220" s="3857"/>
      <c r="AM220" s="3858"/>
      <c r="AN220" s="3859"/>
      <c r="AO220" s="3860"/>
      <c r="AP220" s="3861"/>
      <c r="AQ220" s="3862"/>
      <c r="AR220" s="3863"/>
      <c r="AS220" s="3864"/>
      <c r="AT220" s="1406"/>
      <c r="AU220" s="2270"/>
      <c r="AV220" s="1658"/>
      <c r="AW220" s="1640"/>
      <c r="AX220" s="1640"/>
      <c r="AY220" s="1640"/>
      <c r="AZ220" s="1640"/>
      <c r="BA220" s="1651">
        <v>0</v>
      </c>
    </row>
    <row s="1866" customFormat="1" customHeight="1" ht="11.25">
      <c r="A221" s="1379"/>
      <c r="B221" s="1379"/>
      <c r="C221" s="1379"/>
      <c r="D221" s="1379"/>
      <c r="E221" s="2275"/>
      <c r="F221" s="2275" t="s">
        <v>28</v>
      </c>
      <c r="G221" s="2275"/>
      <c r="H221" s="2275"/>
      <c r="I221" s="2302"/>
      <c r="J221" s="2302"/>
      <c r="K221" s="2272"/>
      <c r="L221" s="1385"/>
      <c r="M221" s="1792"/>
      <c r="N221" s="1792"/>
      <c r="O221" s="1792"/>
      <c r="P221" s="2390"/>
      <c r="Q221" s="2390"/>
      <c r="R221" s="2363"/>
      <c r="S221" s="2359"/>
      <c r="T221" s="2362"/>
      <c r="U221" s="316"/>
      <c r="V221" s="3865"/>
      <c r="W221" s="3866" t="str">
        <f>X218&amp;"-"&amp;Z218</f>
        <v>-</v>
      </c>
      <c r="X221" s="2325"/>
      <c r="Y221" s="2123"/>
      <c r="Z221" s="2325"/>
      <c r="AA221" s="2123"/>
      <c r="AB221" s="2123"/>
      <c r="AC221" s="3867"/>
      <c r="AD221" s="3868"/>
      <c r="AE221" s="3869" t="s">
        <v>616</v>
      </c>
      <c r="AF221" s="3870"/>
      <c r="AG221" s="3871"/>
      <c r="AH221" s="3872"/>
      <c r="AI221" s="3873"/>
      <c r="AJ221" s="3874"/>
      <c r="AK221" s="3875"/>
      <c r="AL221" s="3876"/>
      <c r="AM221" s="3877"/>
      <c r="AN221" s="3878"/>
      <c r="AO221" s="3879" t="str">
        <f>AP218&amp;"-"&amp;AR218</f>
        <v>45866-46022</v>
      </c>
      <c r="AP221" s="3880"/>
      <c r="AQ221" s="3881"/>
      <c r="AR221" s="3882"/>
      <c r="AS221" s="3883"/>
      <c r="AT221" s="1365"/>
      <c r="AU221" s="2270"/>
      <c r="AV221" s="1658"/>
      <c r="AW221" s="1640"/>
      <c r="AX221" s="1640" t="str">
        <f>IF(T221="","",T221)</f>
        <v/>
      </c>
      <c r="AY221" s="1640"/>
      <c r="AZ221" s="1640"/>
      <c r="BA221" s="1651">
        <v>0</v>
      </c>
    </row>
    <row s="1866" customFormat="1" customHeight="1" ht="11.25">
      <c r="A222" s="1379"/>
      <c r="B222" s="1379"/>
      <c r="C222" s="1379"/>
      <c r="D222" s="1379"/>
      <c r="E222" s="2275"/>
      <c r="F222" s="2275" t="s">
        <v>28</v>
      </c>
      <c r="G222" s="2275"/>
      <c r="H222" s="2275"/>
      <c r="I222" s="2302"/>
      <c r="J222" s="2272"/>
      <c r="K222" s="1379"/>
      <c r="L222" s="1385"/>
      <c r="M222" s="1792"/>
      <c r="N222" s="1792"/>
      <c r="O222" s="1792"/>
      <c r="P222" s="2390"/>
      <c r="Q222" s="2390"/>
      <c r="R222" s="372"/>
      <c r="S222" s="3884"/>
      <c r="T222" s="3885" t="s">
        <v>617</v>
      </c>
      <c r="U222" s="3886"/>
      <c r="V222" s="3887"/>
      <c r="W222" s="3888"/>
      <c r="X222" s="3889"/>
      <c r="Y222" s="3890"/>
      <c r="Z222" s="3891"/>
      <c r="AA222" s="3892"/>
      <c r="AB222" s="3893"/>
      <c r="AC222" s="3894"/>
      <c r="AD222" s="3895"/>
      <c r="AE222" s="3896"/>
      <c r="AF222" s="3897"/>
      <c r="AG222" s="3898"/>
      <c r="AH222" s="3899"/>
      <c r="AI222" s="3900"/>
      <c r="AJ222" s="3901"/>
      <c r="AK222" s="3902"/>
      <c r="AL222" s="3903"/>
      <c r="AM222" s="3904"/>
      <c r="AN222" s="3905"/>
      <c r="AO222" s="3906"/>
      <c r="AP222" s="3907"/>
      <c r="AQ222" s="3908"/>
      <c r="AR222" s="3909"/>
      <c r="AS222" s="3910"/>
      <c r="AT222" s="3911"/>
      <c r="AU222" s="2271"/>
      <c r="AV222" s="1658"/>
      <c r="AW222" s="1640"/>
      <c r="AX222" s="1640" t="str">
        <f>IF(T222="","",T222)</f>
        <v>Добавить строку</v>
      </c>
      <c r="AY222" s="1640"/>
      <c r="AZ222" s="1640"/>
      <c r="BA222" s="1651">
        <v>0</v>
      </c>
    </row>
    <row s="638" customFormat="1" customHeight="1" ht="0.75">
      <c r="A223" s="1359"/>
      <c r="B223" s="1359"/>
      <c r="C223" s="1359"/>
      <c r="D223" s="1359"/>
      <c r="E223" s="2275"/>
      <c r="F223" s="2275" t="s">
        <v>28</v>
      </c>
      <c r="G223" s="2275"/>
      <c r="H223" s="2275"/>
      <c r="I223" s="2272"/>
      <c r="J223" s="1359"/>
      <c r="K223" s="1359"/>
      <c r="L223" s="1561"/>
      <c r="M223" s="526"/>
      <c r="N223" s="526"/>
      <c r="O223" s="526"/>
      <c r="P223" s="2390"/>
      <c r="Q223" s="2390"/>
      <c r="R223" s="372"/>
      <c r="S223" s="1402"/>
      <c r="T223" s="1403"/>
      <c r="U223" s="1404"/>
      <c r="V223" s="1404"/>
      <c r="W223" s="1404"/>
      <c r="X223" s="1404"/>
      <c r="Y223" s="1404"/>
      <c r="Z223" s="1404"/>
      <c r="AA223" s="1404"/>
      <c r="AB223" s="1404"/>
      <c r="AC223" s="1404"/>
      <c r="AD223" s="1404"/>
      <c r="AE223" s="1404"/>
      <c r="AF223" s="1404"/>
      <c r="AG223" s="1404"/>
      <c r="AH223" s="1404"/>
      <c r="AI223" s="1404"/>
      <c r="AJ223" s="1404"/>
      <c r="AK223" s="1404"/>
      <c r="AL223" s="1404"/>
      <c r="AM223" s="1404"/>
      <c r="AN223" s="1404"/>
      <c r="AO223" s="1404"/>
      <c r="AP223" s="1404"/>
      <c r="AQ223" s="1404"/>
      <c r="AR223" s="1404"/>
      <c r="AS223" s="1404"/>
      <c r="AT223" s="1404"/>
      <c r="AU223" s="1405"/>
      <c r="AV223" s="1658"/>
      <c r="AW223" s="1640"/>
      <c r="AX223" s="1640" t="str">
        <f>IF(T223="","",T223)</f>
        <v/>
      </c>
      <c r="AY223" s="1640"/>
      <c r="AZ223" s="1640"/>
      <c r="BA223" s="1658">
        <v>0</v>
      </c>
    </row>
    <row s="638" customFormat="1" customHeight="1" ht="0.75">
      <c r="A224" s="1359"/>
      <c r="B224" s="1359"/>
      <c r="C224" s="1359"/>
      <c r="D224" s="1359"/>
      <c r="E224" s="2275"/>
      <c r="F224" s="2275" t="s">
        <v>28</v>
      </c>
      <c r="G224" s="2275"/>
      <c r="H224" s="2274"/>
      <c r="I224" s="1359"/>
      <c r="J224" s="1359"/>
      <c r="K224" s="1359"/>
      <c r="L224" s="1561"/>
      <c r="M224" s="1331"/>
      <c r="N224" s="1331"/>
      <c r="O224" s="1658"/>
      <c r="P224" s="1332"/>
      <c r="Q224" s="1360"/>
      <c r="R224" s="1417"/>
      <c r="S224" s="1402"/>
      <c r="T224" s="1403"/>
      <c r="U224" s="1404"/>
      <c r="V224" s="1404"/>
      <c r="W224" s="1404"/>
      <c r="X224" s="1404"/>
      <c r="Y224" s="1404"/>
      <c r="Z224" s="1404"/>
      <c r="AA224" s="1404"/>
      <c r="AB224" s="1404"/>
      <c r="AC224" s="1404"/>
      <c r="AD224" s="1404"/>
      <c r="AE224" s="1404"/>
      <c r="AF224" s="1404"/>
      <c r="AG224" s="1404"/>
      <c r="AH224" s="1404"/>
      <c r="AI224" s="1404"/>
      <c r="AJ224" s="1404"/>
      <c r="AK224" s="1404"/>
      <c r="AL224" s="1404"/>
      <c r="AM224" s="1404"/>
      <c r="AN224" s="1404"/>
      <c r="AO224" s="1404"/>
      <c r="AP224" s="1404"/>
      <c r="AQ224" s="1404"/>
      <c r="AR224" s="1404"/>
      <c r="AS224" s="1404"/>
      <c r="AT224" s="1404"/>
      <c r="AU224" s="1405"/>
      <c r="AV224" s="1658"/>
      <c r="AW224" s="1640"/>
      <c r="AX224" s="1640" t="str">
        <f>IF(T224="","",T224)</f>
        <v/>
      </c>
      <c r="AY224" s="1640"/>
      <c r="AZ224" s="1640"/>
      <c r="BA224" s="1658">
        <v>0</v>
      </c>
    </row>
    <row s="638" customFormat="1" customHeight="1" ht="0.75">
      <c r="A225" s="1359"/>
      <c r="B225" s="1359"/>
      <c r="C225" s="1359"/>
      <c r="D225" s="1359"/>
      <c r="E225" s="2275"/>
      <c r="F225" s="2275" t="s">
        <v>28</v>
      </c>
      <c r="G225" s="2274"/>
      <c r="H225" s="1359"/>
      <c r="I225" s="1359"/>
      <c r="J225" s="1359"/>
      <c r="K225" s="1359"/>
      <c r="L225" s="1561"/>
      <c r="M225" s="1331"/>
      <c r="N225" s="1331"/>
      <c r="O225" s="1658"/>
      <c r="P225" s="1332"/>
      <c r="Q225" s="1360"/>
      <c r="R225" s="1332"/>
      <c r="S225" s="1338"/>
      <c r="T225" s="1341" t="s">
        <v>268</v>
      </c>
      <c r="U225" s="1340"/>
      <c r="V225" s="1340"/>
      <c r="W225" s="1340"/>
      <c r="X225" s="1340"/>
      <c r="Y225" s="1340"/>
      <c r="Z225" s="1340"/>
      <c r="AA225" s="1340"/>
      <c r="AB225" s="1340"/>
      <c r="AC225" s="1340"/>
      <c r="AD225" s="1340"/>
      <c r="AE225" s="1340"/>
      <c r="AF225" s="1340"/>
      <c r="AG225" s="1340"/>
      <c r="AH225" s="1340"/>
      <c r="AI225" s="1340"/>
      <c r="AJ225" s="1340"/>
      <c r="AK225" s="1340"/>
      <c r="AL225" s="1340"/>
      <c r="AM225" s="1340"/>
      <c r="AN225" s="1340"/>
      <c r="AO225" s="1340"/>
      <c r="AP225" s="1340"/>
      <c r="AQ225" s="1340"/>
      <c r="AR225" s="1340"/>
      <c r="AS225" s="1340"/>
      <c r="AT225" s="1340"/>
      <c r="AU225" s="1340"/>
      <c r="AV225" s="1658"/>
      <c r="AW225" s="1640"/>
      <c r="AX225" s="1640" t="str">
        <f>IF(T225="","",T225)</f>
        <v>Добавить источник для дифференциации</v>
      </c>
      <c r="AY225" s="1640"/>
      <c r="AZ225" s="1640"/>
      <c r="BA225" s="1658">
        <v>0</v>
      </c>
    </row>
    <row s="638" customFormat="1" customHeight="1" ht="0.75">
      <c r="A226" s="1359"/>
      <c r="B226" s="1359"/>
      <c r="C226" s="1359"/>
      <c r="D226" s="1359"/>
      <c r="E226" s="2275"/>
      <c r="F226" s="2274" t="s">
        <v>28</v>
      </c>
      <c r="G226" s="1359"/>
      <c r="H226" s="1359"/>
      <c r="I226" s="1359"/>
      <c r="J226" s="1359"/>
      <c r="K226" s="1359"/>
      <c r="L226" s="1561"/>
      <c r="M226" s="1337"/>
      <c r="N226" s="1337"/>
      <c r="O226" s="1658"/>
      <c r="P226" s="1332"/>
      <c r="Q226" s="1360"/>
      <c r="R226" s="1332"/>
      <c r="S226" s="1338"/>
      <c r="T226" s="1341" t="s">
        <v>269</v>
      </c>
      <c r="U226" s="1340"/>
      <c r="V226" s="1340"/>
      <c r="W226" s="1340"/>
      <c r="X226" s="1340"/>
      <c r="Y226" s="1340"/>
      <c r="Z226" s="1340"/>
      <c r="AA226" s="1340"/>
      <c r="AB226" s="1340"/>
      <c r="AC226" s="1340"/>
      <c r="AD226" s="1340"/>
      <c r="AE226" s="1340"/>
      <c r="AF226" s="1340"/>
      <c r="AG226" s="1340"/>
      <c r="AH226" s="1340"/>
      <c r="AI226" s="1340"/>
      <c r="AJ226" s="1340"/>
      <c r="AK226" s="1340"/>
      <c r="AL226" s="1340"/>
      <c r="AM226" s="1340"/>
      <c r="AN226" s="1340"/>
      <c r="AO226" s="1340"/>
      <c r="AP226" s="1340"/>
      <c r="AQ226" s="1340"/>
      <c r="AR226" s="1340"/>
      <c r="AS226" s="1340"/>
      <c r="AT226" s="1340"/>
      <c r="AU226" s="1340"/>
      <c r="AV226" s="1658"/>
      <c r="AW226" s="1640"/>
      <c r="AX226" s="1640" t="str">
        <f>IF(T226="","",T226)</f>
        <v>Добавить централизованную систему для дифференциации</v>
      </c>
      <c r="AY226" s="1640"/>
      <c r="AZ226" s="1640"/>
      <c r="BA226" s="1658">
        <v>0</v>
      </c>
    </row>
    <row s="1866" customFormat="1" customHeight="1" ht="21">
      <c r="A227" s="1379"/>
      <c r="B227" s="1379" t="s">
        <v>315</v>
      </c>
      <c r="C227" s="1379"/>
      <c r="D227" s="1379"/>
      <c r="E227" s="2275"/>
      <c r="F227" s="2274" t="s">
        <v>28</v>
      </c>
      <c r="G227" s="1379"/>
      <c r="H227" s="1379"/>
      <c r="I227" s="1379"/>
      <c r="J227" s="1379"/>
      <c r="K227" s="1379"/>
      <c r="L227" s="1385"/>
      <c r="M227" s="1381"/>
      <c r="N227" s="1381"/>
      <c r="O227" s="1381"/>
      <c r="P227" s="2623"/>
      <c r="Q227" s="1427"/>
      <c r="R227" s="369"/>
      <c r="S227" s="2289" t="str">
        <f>INDEX(PT_DIFFERENTIATION_NUM_TER,MATCH(B227,PT_DIFFERENTIATION_TER_ID,0))</f>
        <v>1.13</v>
      </c>
      <c r="T227" s="1538" t="s">
        <v>550</v>
      </c>
      <c r="U227" s="316"/>
      <c r="V227" s="2259"/>
      <c r="W227" s="2259"/>
      <c r="X227" s="2259"/>
      <c r="Y227" s="2259"/>
      <c r="Z227" s="2259"/>
      <c r="AA227" s="2260"/>
      <c r="AB227" s="2258" t="str">
        <f>INDEX(PT_DIFFERENTIATION_TER,MATCH(B227,PT_DIFFERENTIATION_TER_ID,0))</f>
        <v>Территория 13</v>
      </c>
      <c r="AC227" s="2259"/>
      <c r="AD227" s="2259"/>
      <c r="AE227" s="2259"/>
      <c r="AF227" s="2259"/>
      <c r="AG227" s="2259"/>
      <c r="AH227" s="2259"/>
      <c r="AI227" s="2259"/>
      <c r="AJ227" s="2259"/>
      <c r="AK227" s="2259"/>
      <c r="AL227" s="2259"/>
      <c r="AM227" s="2259"/>
      <c r="AN227" s="2259"/>
      <c r="AO227" s="2259"/>
      <c r="AP227" s="2259"/>
      <c r="AQ227" s="2259"/>
      <c r="AR227" s="2259"/>
      <c r="AS227" s="2259"/>
      <c r="AT227" s="2260"/>
      <c r="AU227" s="1274" t="s">
        <v>551</v>
      </c>
      <c r="AV227" s="1658"/>
      <c r="AW227" s="1640"/>
      <c r="AX227" s="1640" t="str">
        <f>IF(T227="","",T227)</f>
        <v>Территория действия тарифа</v>
      </c>
      <c r="AY227" s="1640"/>
      <c r="AZ227" s="1640"/>
      <c r="BA227" s="1651">
        <v>0</v>
      </c>
    </row>
    <row s="1866" customFormat="1" customHeight="1" ht="22.5">
      <c r="A228" s="1379"/>
      <c r="B228" s="1379"/>
      <c r="C228" s="1379" t="s">
        <v>316</v>
      </c>
      <c r="D228" s="1379"/>
      <c r="E228" s="2275"/>
      <c r="F228" s="2275" t="s">
        <v>28</v>
      </c>
      <c r="G228" s="2274">
        <v>1</v>
      </c>
      <c r="H228" s="1379"/>
      <c r="I228" s="1379"/>
      <c r="J228" s="1379"/>
      <c r="K228" s="1379"/>
      <c r="L228" s="1385"/>
      <c r="M228" s="1381"/>
      <c r="N228" s="1381"/>
      <c r="O228" s="1381"/>
      <c r="P228" s="1428"/>
      <c r="Q228" s="1427"/>
      <c r="R228" s="369"/>
      <c r="S228" s="2289" t="str">
        <f>INDEX(PT_DIFFERENTIATION_NUM_CS,MATCH(C228,PT_DIFFERENTIATION_CS_ID,0))</f>
        <v>1.13.1</v>
      </c>
      <c r="T228" s="325" t="s">
        <v>552</v>
      </c>
      <c r="U228" s="316"/>
      <c r="V228" s="2259"/>
      <c r="W228" s="2259"/>
      <c r="X228" s="2259"/>
      <c r="Y228" s="2259"/>
      <c r="Z228" s="2259"/>
      <c r="AA228" s="2260"/>
      <c r="AB228" s="2258" t="str">
        <f>INDEX(PT_DIFFERENTIATION_CS,MATCH(C228,PT_DIFFERENTIATION_CS_ID,0))</f>
        <v>Арсеньевский городской округ</v>
      </c>
      <c r="AC228" s="2259"/>
      <c r="AD228" s="2259"/>
      <c r="AE228" s="2259"/>
      <c r="AF228" s="2259"/>
      <c r="AG228" s="2259"/>
      <c r="AH228" s="2259"/>
      <c r="AI228" s="2259"/>
      <c r="AJ228" s="2259"/>
      <c r="AK228" s="2259"/>
      <c r="AL228" s="2259"/>
      <c r="AM228" s="2259"/>
      <c r="AN228" s="2259"/>
      <c r="AO228" s="2259"/>
      <c r="AP228" s="2259"/>
      <c r="AQ228" s="2259"/>
      <c r="AR228" s="2259"/>
      <c r="AS228" s="2259"/>
      <c r="AT228" s="2260"/>
      <c r="AU228" s="1274" t="s">
        <v>553</v>
      </c>
      <c r="AV228" s="1658"/>
      <c r="AW228" s="1640"/>
      <c r="AX228" s="1640" t="str">
        <f>IF(T228="","",T228)</f>
        <v>Наименование системы теплоснабжения </v>
      </c>
      <c r="AY228" s="1640"/>
      <c r="AZ228" s="1640"/>
      <c r="BA228" s="1651">
        <v>0</v>
      </c>
    </row>
    <row s="1866" customFormat="1" customHeight="1" ht="21">
      <c r="A229" s="1379"/>
      <c r="B229" s="1379"/>
      <c r="C229" s="1379"/>
      <c r="D229" s="1379" t="s">
        <v>317</v>
      </c>
      <c r="E229" s="2275"/>
      <c r="F229" s="2275" t="s">
        <v>28</v>
      </c>
      <c r="G229" s="2275"/>
      <c r="H229" s="2274">
        <v>1</v>
      </c>
      <c r="I229" s="1379"/>
      <c r="J229" s="1379"/>
      <c r="K229" s="1379"/>
      <c r="L229" s="1385"/>
      <c r="M229" s="1381"/>
      <c r="N229" s="1381"/>
      <c r="O229" s="1381"/>
      <c r="P229" s="1428"/>
      <c r="Q229" s="1427"/>
      <c r="R229" s="369"/>
      <c r="S229" s="2289" t="str">
        <f>INDEX(PT_DIFFERENTIATION_NUM_IST_TE,MATCH(D229,PT_DIFFERENTIATION_IST_TE_ID,0))</f>
        <v>1.13.1.1</v>
      </c>
      <c r="T229" s="326" t="s">
        <v>554</v>
      </c>
      <c r="U229" s="316"/>
      <c r="V229" s="2259"/>
      <c r="W229" s="2259"/>
      <c r="X229" s="2259"/>
      <c r="Y229" s="2259"/>
      <c r="Z229" s="2259"/>
      <c r="AA229" s="2260"/>
      <c r="AB229" s="2258" t="str">
        <f>INDEX(PT_DIFFERENTIATION_IST_TE,MATCH(D229,PT_DIFFERENTIATION_IST_TE_ID,0))</f>
        <v>без дифференциации</v>
      </c>
      <c r="AC229" s="2259"/>
      <c r="AD229" s="2259"/>
      <c r="AE229" s="2259"/>
      <c r="AF229" s="2259"/>
      <c r="AG229" s="2259"/>
      <c r="AH229" s="2259"/>
      <c r="AI229" s="2259"/>
      <c r="AJ229" s="2259"/>
      <c r="AK229" s="2259"/>
      <c r="AL229" s="2259"/>
      <c r="AM229" s="2259"/>
      <c r="AN229" s="2259"/>
      <c r="AO229" s="2259"/>
      <c r="AP229" s="2259"/>
      <c r="AQ229" s="2259"/>
      <c r="AR229" s="2259"/>
      <c r="AS229" s="2259"/>
      <c r="AT229" s="2260"/>
      <c r="AU229" s="1274" t="s">
        <v>555</v>
      </c>
      <c r="AV229" s="1658"/>
      <c r="AW229" s="1640"/>
      <c r="AX229" s="1640" t="str">
        <f>IF(T229="","",T229)</f>
        <v>Источник тепловой энергии  </v>
      </c>
      <c r="AY229" s="1640"/>
      <c r="AZ229" s="1640"/>
      <c r="BA229" s="1651">
        <v>0</v>
      </c>
    </row>
    <row s="638" customFormat="1" customHeight="1" ht="0.75">
      <c r="A230" s="1359"/>
      <c r="B230" s="1359"/>
      <c r="C230" s="1359"/>
      <c r="D230" s="1359"/>
      <c r="E230" s="2275"/>
      <c r="F230" s="2275" t="s">
        <v>28</v>
      </c>
      <c r="G230" s="2275"/>
      <c r="H230" s="2275"/>
      <c r="I230" s="2272" t="str">
        <f>S229&amp;".1"</f>
        <v>1.13.1.1.1</v>
      </c>
      <c r="J230" s="1359"/>
      <c r="K230" s="1359"/>
      <c r="L230" s="1561" t="s">
        <v>556</v>
      </c>
      <c r="M230" s="526"/>
      <c r="N230" s="526"/>
      <c r="O230" s="526"/>
      <c r="P230" s="2390">
        <v>1</v>
      </c>
      <c r="Q230" s="2390"/>
      <c r="R230" s="372"/>
      <c r="S230" s="2320"/>
      <c r="T230" s="1399"/>
      <c r="U230" s="1400"/>
      <c r="V230" s="2313"/>
      <c r="W230" s="2313"/>
      <c r="X230" s="2313"/>
      <c r="Y230" s="2313"/>
      <c r="Z230" s="2313"/>
      <c r="AA230" s="2314"/>
      <c r="AB230" s="2312"/>
      <c r="AC230" s="2313"/>
      <c r="AD230" s="2313"/>
      <c r="AE230" s="2313"/>
      <c r="AF230" s="2313"/>
      <c r="AG230" s="2313"/>
      <c r="AH230" s="2313"/>
      <c r="AI230" s="2313"/>
      <c r="AJ230" s="2313"/>
      <c r="AK230" s="2313"/>
      <c r="AL230" s="2313"/>
      <c r="AM230" s="2313"/>
      <c r="AN230" s="2313"/>
      <c r="AO230" s="2313"/>
      <c r="AP230" s="2313"/>
      <c r="AQ230" s="2313"/>
      <c r="AR230" s="2313"/>
      <c r="AS230" s="2313"/>
      <c r="AT230" s="2314"/>
      <c r="AU230" s="1401"/>
      <c r="AV230" s="1658"/>
      <c r="AW230" s="1640"/>
      <c r="AX230" s="1640" t="str">
        <f>IF(T230="","",T230)</f>
        <v/>
      </c>
      <c r="AY230" s="1640"/>
      <c r="AZ230" s="1640"/>
      <c r="BA230" s="1658">
        <v>0</v>
      </c>
    </row>
    <row s="638" customFormat="1" customHeight="1" ht="0.75">
      <c r="A231" s="1359"/>
      <c r="B231" s="1359"/>
      <c r="C231" s="1359"/>
      <c r="D231" s="1359"/>
      <c r="E231" s="2275"/>
      <c r="F231" s="2275" t="s">
        <v>28</v>
      </c>
      <c r="G231" s="2275"/>
      <c r="H231" s="2275"/>
      <c r="I231" s="2302"/>
      <c r="J231" s="2272" t="str">
        <f>S229&amp;".1"</f>
        <v>1.13.1.1.1</v>
      </c>
      <c r="K231" s="1359"/>
      <c r="L231" s="1561"/>
      <c r="M231" s="526"/>
      <c r="N231" s="526"/>
      <c r="O231" s="526"/>
      <c r="P231" s="2390"/>
      <c r="Q231" s="2390">
        <v>1</v>
      </c>
      <c r="R231" s="373"/>
      <c r="S231" s="2320"/>
      <c r="T231" s="1415"/>
      <c r="U231" s="1400"/>
      <c r="V231" s="2313"/>
      <c r="W231" s="2313"/>
      <c r="X231" s="2313"/>
      <c r="Y231" s="2313"/>
      <c r="Z231" s="2313"/>
      <c r="AA231" s="2314"/>
      <c r="AB231" s="2312"/>
      <c r="AC231" s="2313"/>
      <c r="AD231" s="2313"/>
      <c r="AE231" s="2313"/>
      <c r="AF231" s="2313"/>
      <c r="AG231" s="2313"/>
      <c r="AH231" s="2313"/>
      <c r="AI231" s="2313"/>
      <c r="AJ231" s="2313"/>
      <c r="AK231" s="2313"/>
      <c r="AL231" s="2313"/>
      <c r="AM231" s="2313"/>
      <c r="AN231" s="2313"/>
      <c r="AO231" s="2313"/>
      <c r="AP231" s="2313"/>
      <c r="AQ231" s="2313"/>
      <c r="AR231" s="2313"/>
      <c r="AS231" s="2313"/>
      <c r="AT231" s="2314"/>
      <c r="AU231" s="1401"/>
      <c r="AV231" s="1658"/>
      <c r="AW231" s="1640"/>
      <c r="AX231" s="1640" t="str">
        <f>IF(T231="","",T231)</f>
        <v/>
      </c>
      <c r="AY231" s="1640"/>
      <c r="AZ231" s="1640"/>
      <c r="BA231" s="1658">
        <v>0</v>
      </c>
    </row>
    <row s="1866" customFormat="1" customHeight="1" ht="21">
      <c r="A232" s="1379"/>
      <c r="B232" s="1379"/>
      <c r="C232" s="1379"/>
      <c r="D232" s="1379"/>
      <c r="E232" s="2275"/>
      <c r="F232" s="2275" t="s">
        <v>28</v>
      </c>
      <c r="G232" s="2275"/>
      <c r="H232" s="2275"/>
      <c r="I232" s="2302"/>
      <c r="J232" s="2302"/>
      <c r="K232" s="2272" t="str">
        <f>S229&amp;".1"</f>
        <v>1.13.1.1.1</v>
      </c>
      <c r="L232" s="1385"/>
      <c r="M232" s="1792"/>
      <c r="N232" s="1792"/>
      <c r="O232" s="1792"/>
      <c r="P232" s="2390"/>
      <c r="Q232" s="2390"/>
      <c r="R232" s="2363">
        <v>1</v>
      </c>
      <c r="S232" s="2357" t="str">
        <f>$K232</f>
        <v>1.13.1.1.1</v>
      </c>
      <c r="T232" s="2360" t="s">
        <v>630</v>
      </c>
      <c r="U232" s="316"/>
      <c r="V232" s="767"/>
      <c r="W232" s="1273"/>
      <c r="X232" s="2618"/>
      <c r="Y232" s="2123" t="s">
        <v>64</v>
      </c>
      <c r="Z232" s="2618"/>
      <c r="AA232" s="2123" t="s">
        <v>64</v>
      </c>
      <c r="AB232" s="2123" t="s">
        <v>19</v>
      </c>
      <c r="AC232" s="2342"/>
      <c r="AD232" s="2453">
        <v>1</v>
      </c>
      <c r="AE232" s="2364" t="s">
        <v>28</v>
      </c>
      <c r="AF232" s="2123" t="s">
        <v>19</v>
      </c>
      <c r="AG232" s="2342"/>
      <c r="AH232" s="2453">
        <v>1</v>
      </c>
      <c r="AI232" s="2364" t="s">
        <v>28</v>
      </c>
      <c r="AJ232" s="2123" t="s">
        <v>19</v>
      </c>
      <c r="AK232" s="327"/>
      <c r="AL232" s="2453">
        <v>1</v>
      </c>
      <c r="AM232" s="1540" t="s">
        <v>28</v>
      </c>
      <c r="AN232" s="767"/>
      <c r="AO232" s="1273">
        <v>32.765</v>
      </c>
      <c r="AP232" s="2618">
        <v>45909</v>
      </c>
      <c r="AQ232" s="2123" t="s">
        <v>64</v>
      </c>
      <c r="AR232" s="2618">
        <v>46022</v>
      </c>
      <c r="AS232" s="2123" t="s">
        <v>64</v>
      </c>
      <c r="AT232" s="1364"/>
      <c r="AU232" s="2269" t="s">
        <v>613</v>
      </c>
      <c r="AV232" s="1658">
        <f>STRCHECKDATE(V235:AT235)</f>
      </c>
      <c r="AW232" s="1640"/>
      <c r="AX232" s="1640" t="str">
        <f>IF(T232="","",T232)</f>
        <v>Котельная</v>
      </c>
      <c r="AY232" s="1640"/>
      <c r="AZ232" s="1640"/>
      <c r="BA232" s="1651">
        <v>0</v>
      </c>
    </row>
    <row s="1866" customFormat="1" customHeight="1" ht="11.25">
      <c r="A233" s="1379"/>
      <c r="B233" s="1379"/>
      <c r="C233" s="1379"/>
      <c r="D233" s="1379"/>
      <c r="E233" s="2275"/>
      <c r="F233" s="2275" t="s">
        <v>28</v>
      </c>
      <c r="G233" s="2275"/>
      <c r="H233" s="2275"/>
      <c r="I233" s="2302"/>
      <c r="J233" s="2302"/>
      <c r="K233" s="2272"/>
      <c r="L233" s="1385"/>
      <c r="M233" s="1792"/>
      <c r="N233" s="1792"/>
      <c r="O233" s="1792"/>
      <c r="P233" s="2390"/>
      <c r="Q233" s="2390"/>
      <c r="R233" s="2363"/>
      <c r="S233" s="2358"/>
      <c r="T233" s="2361"/>
      <c r="U233" s="316"/>
      <c r="V233" s="3914"/>
      <c r="W233" s="3915"/>
      <c r="X233" s="2618"/>
      <c r="Y233" s="2123"/>
      <c r="Z233" s="2618"/>
      <c r="AA233" s="2123"/>
      <c r="AB233" s="2123"/>
      <c r="AC233" s="2342"/>
      <c r="AD233" s="2453"/>
      <c r="AE233" s="2364" t="s">
        <v>28</v>
      </c>
      <c r="AF233" s="2123"/>
      <c r="AG233" s="2342"/>
      <c r="AH233" s="2453"/>
      <c r="AI233" s="2364" t="s">
        <v>28</v>
      </c>
      <c r="AJ233" s="2123"/>
      <c r="AK233" s="3916"/>
      <c r="AL233" s="3917"/>
      <c r="AM233" s="3918" t="s">
        <v>614</v>
      </c>
      <c r="AN233" s="3919"/>
      <c r="AO233" s="3920"/>
      <c r="AP233" s="3921"/>
      <c r="AQ233" s="3922"/>
      <c r="AR233" s="3923"/>
      <c r="AS233" s="3924"/>
      <c r="AT233" s="1406"/>
      <c r="AU233" s="2270"/>
      <c r="AV233" s="1658"/>
      <c r="AW233" s="1640"/>
      <c r="AX233" s="1640"/>
      <c r="AY233" s="1640"/>
      <c r="AZ233" s="1640"/>
      <c r="BA233" s="1651">
        <v>0</v>
      </c>
    </row>
    <row s="1866" customFormat="1" customHeight="1" ht="11.25">
      <c r="A234" s="1379"/>
      <c r="B234" s="1379"/>
      <c r="C234" s="1379"/>
      <c r="D234" s="1379"/>
      <c r="E234" s="2275"/>
      <c r="F234" s="2275" t="s">
        <v>28</v>
      </c>
      <c r="G234" s="2275"/>
      <c r="H234" s="2275"/>
      <c r="I234" s="2302"/>
      <c r="J234" s="2302"/>
      <c r="K234" s="2272"/>
      <c r="L234" s="1385"/>
      <c r="M234" s="1792"/>
      <c r="N234" s="1792"/>
      <c r="O234" s="1792"/>
      <c r="P234" s="2390"/>
      <c r="Q234" s="2390"/>
      <c r="R234" s="2363"/>
      <c r="S234" s="2358"/>
      <c r="T234" s="2361"/>
      <c r="U234" s="316"/>
      <c r="V234" s="3925"/>
      <c r="W234" s="3926"/>
      <c r="X234" s="2618"/>
      <c r="Y234" s="2123"/>
      <c r="Z234" s="2618"/>
      <c r="AA234" s="2123"/>
      <c r="AB234" s="2123"/>
      <c r="AC234" s="2342"/>
      <c r="AD234" s="2453"/>
      <c r="AE234" s="2364" t="s">
        <v>28</v>
      </c>
      <c r="AF234" s="2123"/>
      <c r="AG234" s="3927"/>
      <c r="AH234" s="3928"/>
      <c r="AI234" s="3929" t="s">
        <v>615</v>
      </c>
      <c r="AJ234" s="3930"/>
      <c r="AK234" s="3931"/>
      <c r="AL234" s="3932"/>
      <c r="AM234" s="3933"/>
      <c r="AN234" s="3934"/>
      <c r="AO234" s="3935"/>
      <c r="AP234" s="3936"/>
      <c r="AQ234" s="3937"/>
      <c r="AR234" s="3938"/>
      <c r="AS234" s="3939"/>
      <c r="AT234" s="1406"/>
      <c r="AU234" s="2270"/>
      <c r="AV234" s="1658"/>
      <c r="AW234" s="1640"/>
      <c r="AX234" s="1640"/>
      <c r="AY234" s="1640"/>
      <c r="AZ234" s="1640"/>
      <c r="BA234" s="1651">
        <v>0</v>
      </c>
    </row>
    <row s="1866" customFormat="1" customHeight="1" ht="11.25">
      <c r="A235" s="1379"/>
      <c r="B235" s="1379"/>
      <c r="C235" s="1379"/>
      <c r="D235" s="1379"/>
      <c r="E235" s="2275"/>
      <c r="F235" s="2275" t="s">
        <v>28</v>
      </c>
      <c r="G235" s="2275"/>
      <c r="H235" s="2275"/>
      <c r="I235" s="2302"/>
      <c r="J235" s="2302"/>
      <c r="K235" s="2272"/>
      <c r="L235" s="1385"/>
      <c r="M235" s="1792"/>
      <c r="N235" s="1792"/>
      <c r="O235" s="1792"/>
      <c r="P235" s="2390"/>
      <c r="Q235" s="2390"/>
      <c r="R235" s="2363"/>
      <c r="S235" s="2359"/>
      <c r="T235" s="2362"/>
      <c r="U235" s="316"/>
      <c r="V235" s="3940"/>
      <c r="W235" s="3941" t="str">
        <f>X232&amp;"-"&amp;Z232</f>
        <v>-</v>
      </c>
      <c r="X235" s="2325"/>
      <c r="Y235" s="2123"/>
      <c r="Z235" s="2325"/>
      <c r="AA235" s="2123"/>
      <c r="AB235" s="2123"/>
      <c r="AC235" s="3942"/>
      <c r="AD235" s="3943"/>
      <c r="AE235" s="3944" t="s">
        <v>616</v>
      </c>
      <c r="AF235" s="3945"/>
      <c r="AG235" s="3946"/>
      <c r="AH235" s="3947"/>
      <c r="AI235" s="3948"/>
      <c r="AJ235" s="3949"/>
      <c r="AK235" s="3950"/>
      <c r="AL235" s="3951"/>
      <c r="AM235" s="3952"/>
      <c r="AN235" s="3953"/>
      <c r="AO235" s="3954" t="str">
        <f>AP232&amp;"-"&amp;AR232</f>
        <v>45909-46022</v>
      </c>
      <c r="AP235" s="3955"/>
      <c r="AQ235" s="3956"/>
      <c r="AR235" s="3957"/>
      <c r="AS235" s="3958"/>
      <c r="AT235" s="1365"/>
      <c r="AU235" s="2270"/>
      <c r="AV235" s="1658"/>
      <c r="AW235" s="1640"/>
      <c r="AX235" s="1640" t="str">
        <f>IF(T235="","",T235)</f>
        <v/>
      </c>
      <c r="AY235" s="1640"/>
      <c r="AZ235" s="1640"/>
      <c r="BA235" s="1651">
        <v>0</v>
      </c>
    </row>
    <row s="1866" customFormat="1" customHeight="1" ht="11.25">
      <c r="A236" s="1379"/>
      <c r="B236" s="1379"/>
      <c r="C236" s="1379"/>
      <c r="D236" s="1379"/>
      <c r="E236" s="2275"/>
      <c r="F236" s="2275" t="s">
        <v>28</v>
      </c>
      <c r="G236" s="2275"/>
      <c r="H236" s="2275"/>
      <c r="I236" s="2302"/>
      <c r="J236" s="2272"/>
      <c r="K236" s="1379"/>
      <c r="L236" s="1385"/>
      <c r="M236" s="1792"/>
      <c r="N236" s="1792"/>
      <c r="O236" s="1792"/>
      <c r="P236" s="2390"/>
      <c r="Q236" s="2390"/>
      <c r="R236" s="372"/>
      <c r="S236" s="3959"/>
      <c r="T236" s="3960" t="s">
        <v>617</v>
      </c>
      <c r="U236" s="3961"/>
      <c r="V236" s="3962"/>
      <c r="W236" s="3963"/>
      <c r="X236" s="3964"/>
      <c r="Y236" s="3965"/>
      <c r="Z236" s="3966"/>
      <c r="AA236" s="3967"/>
      <c r="AB236" s="3968"/>
      <c r="AC236" s="3969"/>
      <c r="AD236" s="3970"/>
      <c r="AE236" s="3971"/>
      <c r="AF236" s="3972"/>
      <c r="AG236" s="3973"/>
      <c r="AH236" s="3974"/>
      <c r="AI236" s="3975"/>
      <c r="AJ236" s="3976"/>
      <c r="AK236" s="3977"/>
      <c r="AL236" s="3978"/>
      <c r="AM236" s="3979"/>
      <c r="AN236" s="3980"/>
      <c r="AO236" s="3981"/>
      <c r="AP236" s="3982"/>
      <c r="AQ236" s="3983"/>
      <c r="AR236" s="3984"/>
      <c r="AS236" s="3985"/>
      <c r="AT236" s="3986"/>
      <c r="AU236" s="2271"/>
      <c r="AV236" s="1658"/>
      <c r="AW236" s="1640"/>
      <c r="AX236" s="1640" t="str">
        <f>IF(T236="","",T236)</f>
        <v>Добавить строку</v>
      </c>
      <c r="AY236" s="1640"/>
      <c r="AZ236" s="1640"/>
      <c r="BA236" s="1651">
        <v>0</v>
      </c>
    </row>
    <row s="638" customFormat="1" customHeight="1" ht="0.75">
      <c r="A237" s="1359"/>
      <c r="B237" s="1359"/>
      <c r="C237" s="1359"/>
      <c r="D237" s="1359"/>
      <c r="E237" s="2275"/>
      <c r="F237" s="2275" t="s">
        <v>28</v>
      </c>
      <c r="G237" s="2275"/>
      <c r="H237" s="2275"/>
      <c r="I237" s="2272"/>
      <c r="J237" s="1359"/>
      <c r="K237" s="1359"/>
      <c r="L237" s="1561"/>
      <c r="M237" s="526"/>
      <c r="N237" s="526"/>
      <c r="O237" s="526"/>
      <c r="P237" s="2390"/>
      <c r="Q237" s="2390"/>
      <c r="R237" s="372"/>
      <c r="S237" s="1402"/>
      <c r="T237" s="1403"/>
      <c r="U237" s="1404"/>
      <c r="V237" s="1404"/>
      <c r="W237" s="1404"/>
      <c r="X237" s="1404"/>
      <c r="Y237" s="1404"/>
      <c r="Z237" s="1404"/>
      <c r="AA237" s="1404"/>
      <c r="AB237" s="1404"/>
      <c r="AC237" s="1404"/>
      <c r="AD237" s="1404"/>
      <c r="AE237" s="1404"/>
      <c r="AF237" s="1404"/>
      <c r="AG237" s="1404"/>
      <c r="AH237" s="1404"/>
      <c r="AI237" s="1404"/>
      <c r="AJ237" s="1404"/>
      <c r="AK237" s="1404"/>
      <c r="AL237" s="1404"/>
      <c r="AM237" s="1404"/>
      <c r="AN237" s="1404"/>
      <c r="AO237" s="1404"/>
      <c r="AP237" s="1404"/>
      <c r="AQ237" s="1404"/>
      <c r="AR237" s="1404"/>
      <c r="AS237" s="1404"/>
      <c r="AT237" s="1404"/>
      <c r="AU237" s="1405"/>
      <c r="AV237" s="1658"/>
      <c r="AW237" s="1640"/>
      <c r="AX237" s="1640" t="str">
        <f>IF(T237="","",T237)</f>
        <v/>
      </c>
      <c r="AY237" s="1640"/>
      <c r="AZ237" s="1640"/>
      <c r="BA237" s="1658">
        <v>0</v>
      </c>
    </row>
    <row s="638" customFormat="1" customHeight="1" ht="0.75">
      <c r="A238" s="1359"/>
      <c r="B238" s="1359"/>
      <c r="C238" s="1359"/>
      <c r="D238" s="1359"/>
      <c r="E238" s="2275"/>
      <c r="F238" s="2275" t="s">
        <v>28</v>
      </c>
      <c r="G238" s="2275"/>
      <c r="H238" s="2274"/>
      <c r="I238" s="1359"/>
      <c r="J238" s="1359"/>
      <c r="K238" s="1359"/>
      <c r="L238" s="1561"/>
      <c r="M238" s="1331"/>
      <c r="N238" s="1331"/>
      <c r="O238" s="1658"/>
      <c r="P238" s="1332"/>
      <c r="Q238" s="1360"/>
      <c r="R238" s="1417"/>
      <c r="S238" s="1402"/>
      <c r="T238" s="1403"/>
      <c r="U238" s="1404"/>
      <c r="V238" s="1404"/>
      <c r="W238" s="1404"/>
      <c r="X238" s="1404"/>
      <c r="Y238" s="1404"/>
      <c r="Z238" s="1404"/>
      <c r="AA238" s="1404"/>
      <c r="AB238" s="1404"/>
      <c r="AC238" s="1404"/>
      <c r="AD238" s="1404"/>
      <c r="AE238" s="1404"/>
      <c r="AF238" s="1404"/>
      <c r="AG238" s="1404"/>
      <c r="AH238" s="1404"/>
      <c r="AI238" s="1404"/>
      <c r="AJ238" s="1404"/>
      <c r="AK238" s="1404"/>
      <c r="AL238" s="1404"/>
      <c r="AM238" s="1404"/>
      <c r="AN238" s="1404"/>
      <c r="AO238" s="1404"/>
      <c r="AP238" s="1404"/>
      <c r="AQ238" s="1404"/>
      <c r="AR238" s="1404"/>
      <c r="AS238" s="1404"/>
      <c r="AT238" s="1404"/>
      <c r="AU238" s="1405"/>
      <c r="AV238" s="1658"/>
      <c r="AW238" s="1640"/>
      <c r="AX238" s="1640" t="str">
        <f>IF(T238="","",T238)</f>
        <v/>
      </c>
      <c r="AY238" s="1640"/>
      <c r="AZ238" s="1640"/>
      <c r="BA238" s="1658">
        <v>0</v>
      </c>
    </row>
    <row s="638" customFormat="1" customHeight="1" ht="0.75">
      <c r="A239" s="1359"/>
      <c r="B239" s="1359"/>
      <c r="C239" s="1359"/>
      <c r="D239" s="1359"/>
      <c r="E239" s="2275"/>
      <c r="F239" s="2275" t="s">
        <v>28</v>
      </c>
      <c r="G239" s="2274"/>
      <c r="H239" s="1359"/>
      <c r="I239" s="1359"/>
      <c r="J239" s="1359"/>
      <c r="K239" s="1359"/>
      <c r="L239" s="1561"/>
      <c r="M239" s="1331"/>
      <c r="N239" s="1331"/>
      <c r="O239" s="1658"/>
      <c r="P239" s="1332"/>
      <c r="Q239" s="1360"/>
      <c r="R239" s="1332"/>
      <c r="S239" s="1338"/>
      <c r="T239" s="1341" t="s">
        <v>268</v>
      </c>
      <c r="U239" s="1340"/>
      <c r="V239" s="1340"/>
      <c r="W239" s="1340"/>
      <c r="X239" s="1340"/>
      <c r="Y239" s="1340"/>
      <c r="Z239" s="1340"/>
      <c r="AA239" s="1340"/>
      <c r="AB239" s="1340"/>
      <c r="AC239" s="1340"/>
      <c r="AD239" s="1340"/>
      <c r="AE239" s="1340"/>
      <c r="AF239" s="1340"/>
      <c r="AG239" s="1340"/>
      <c r="AH239" s="1340"/>
      <c r="AI239" s="1340"/>
      <c r="AJ239" s="1340"/>
      <c r="AK239" s="1340"/>
      <c r="AL239" s="1340"/>
      <c r="AM239" s="1340"/>
      <c r="AN239" s="1340"/>
      <c r="AO239" s="1340"/>
      <c r="AP239" s="1340"/>
      <c r="AQ239" s="1340"/>
      <c r="AR239" s="1340"/>
      <c r="AS239" s="1340"/>
      <c r="AT239" s="1340"/>
      <c r="AU239" s="1340"/>
      <c r="AV239" s="1658"/>
      <c r="AW239" s="1640"/>
      <c r="AX239" s="1640" t="str">
        <f>IF(T239="","",T239)</f>
        <v>Добавить источник для дифференциации</v>
      </c>
      <c r="AY239" s="1640"/>
      <c r="AZ239" s="1640"/>
      <c r="BA239" s="1658">
        <v>0</v>
      </c>
    </row>
    <row s="638" customFormat="1" customHeight="1" ht="0.75">
      <c r="A240" s="1359"/>
      <c r="B240" s="1359"/>
      <c r="C240" s="1359"/>
      <c r="D240" s="1359"/>
      <c r="E240" s="2275"/>
      <c r="F240" s="2274" t="s">
        <v>28</v>
      </c>
      <c r="G240" s="1359"/>
      <c r="H240" s="1359"/>
      <c r="I240" s="1359"/>
      <c r="J240" s="1359"/>
      <c r="K240" s="1359"/>
      <c r="L240" s="1561"/>
      <c r="M240" s="1337"/>
      <c r="N240" s="1337"/>
      <c r="O240" s="1658"/>
      <c r="P240" s="1332"/>
      <c r="Q240" s="1360"/>
      <c r="R240" s="1332"/>
      <c r="S240" s="1338"/>
      <c r="T240" s="1341" t="s">
        <v>269</v>
      </c>
      <c r="U240" s="1340"/>
      <c r="V240" s="1340"/>
      <c r="W240" s="1340"/>
      <c r="X240" s="1340"/>
      <c r="Y240" s="1340"/>
      <c r="Z240" s="1340"/>
      <c r="AA240" s="1340"/>
      <c r="AB240" s="1340"/>
      <c r="AC240" s="1340"/>
      <c r="AD240" s="1340"/>
      <c r="AE240" s="1340"/>
      <c r="AF240" s="1340"/>
      <c r="AG240" s="1340"/>
      <c r="AH240" s="1340"/>
      <c r="AI240" s="1340"/>
      <c r="AJ240" s="1340"/>
      <c r="AK240" s="1340"/>
      <c r="AL240" s="1340"/>
      <c r="AM240" s="1340"/>
      <c r="AN240" s="1340"/>
      <c r="AO240" s="1340"/>
      <c r="AP240" s="1340"/>
      <c r="AQ240" s="1340"/>
      <c r="AR240" s="1340"/>
      <c r="AS240" s="1340"/>
      <c r="AT240" s="1340"/>
      <c r="AU240" s="1340"/>
      <c r="AV240" s="1658"/>
      <c r="AW240" s="1640"/>
      <c r="AX240" s="1640" t="str">
        <f>IF(T240="","",T240)</f>
        <v>Добавить централизованную систему для дифференциации</v>
      </c>
      <c r="AY240" s="1640"/>
      <c r="AZ240" s="1640"/>
      <c r="BA240" s="1658">
        <v>0</v>
      </c>
    </row>
    <row s="1866" customFormat="1" customHeight="1" ht="21">
      <c r="A241" s="1379"/>
      <c r="B241" s="1379" t="s">
        <v>319</v>
      </c>
      <c r="C241" s="1379"/>
      <c r="D241" s="1379"/>
      <c r="E241" s="2275"/>
      <c r="F241" s="2274" t="s">
        <v>28</v>
      </c>
      <c r="G241" s="1379"/>
      <c r="H241" s="1379"/>
      <c r="I241" s="1379"/>
      <c r="J241" s="1379"/>
      <c r="K241" s="1379"/>
      <c r="L241" s="1385"/>
      <c r="M241" s="1381"/>
      <c r="N241" s="1381"/>
      <c r="O241" s="1381"/>
      <c r="P241" s="2623"/>
      <c r="Q241" s="1427"/>
      <c r="R241" s="369"/>
      <c r="S241" s="2289" t="str">
        <f>INDEX(PT_DIFFERENTIATION_NUM_TER,MATCH(B241,PT_DIFFERENTIATION_TER_ID,0))</f>
        <v>1.14</v>
      </c>
      <c r="T241" s="1538" t="s">
        <v>550</v>
      </c>
      <c r="U241" s="316"/>
      <c r="V241" s="2259"/>
      <c r="W241" s="2259"/>
      <c r="X241" s="2259"/>
      <c r="Y241" s="2259"/>
      <c r="Z241" s="2259"/>
      <c r="AA241" s="2260"/>
      <c r="AB241" s="2258" t="str">
        <f>INDEX(PT_DIFFERENTIATION_TER,MATCH(B241,PT_DIFFERENTIATION_TER_ID,0))</f>
        <v>Территория 14</v>
      </c>
      <c r="AC241" s="2259"/>
      <c r="AD241" s="2259"/>
      <c r="AE241" s="2259"/>
      <c r="AF241" s="2259"/>
      <c r="AG241" s="2259"/>
      <c r="AH241" s="2259"/>
      <c r="AI241" s="2259"/>
      <c r="AJ241" s="2259"/>
      <c r="AK241" s="2259"/>
      <c r="AL241" s="2259"/>
      <c r="AM241" s="2259"/>
      <c r="AN241" s="2259"/>
      <c r="AO241" s="2259"/>
      <c r="AP241" s="2259"/>
      <c r="AQ241" s="2259"/>
      <c r="AR241" s="2259"/>
      <c r="AS241" s="2259"/>
      <c r="AT241" s="2260"/>
      <c r="AU241" s="1274" t="s">
        <v>551</v>
      </c>
      <c r="AV241" s="1658"/>
      <c r="AW241" s="1640"/>
      <c r="AX241" s="1640" t="str">
        <f>IF(T241="","",T241)</f>
        <v>Территория действия тарифа</v>
      </c>
      <c r="AY241" s="1640"/>
      <c r="AZ241" s="1640"/>
      <c r="BA241" s="1651">
        <v>0</v>
      </c>
    </row>
    <row s="1866" customFormat="1" customHeight="1" ht="22.5">
      <c r="A242" s="1379"/>
      <c r="B242" s="1379"/>
      <c r="C242" s="1379" t="s">
        <v>320</v>
      </c>
      <c r="D242" s="1379"/>
      <c r="E242" s="2275"/>
      <c r="F242" s="2275" t="s">
        <v>28</v>
      </c>
      <c r="G242" s="2274">
        <v>1</v>
      </c>
      <c r="H242" s="1379"/>
      <c r="I242" s="1379"/>
      <c r="J242" s="1379"/>
      <c r="K242" s="1379"/>
      <c r="L242" s="1385"/>
      <c r="M242" s="1381"/>
      <c r="N242" s="1381"/>
      <c r="O242" s="1381"/>
      <c r="P242" s="1428"/>
      <c r="Q242" s="1427"/>
      <c r="R242" s="369"/>
      <c r="S242" s="2289" t="str">
        <f>INDEX(PT_DIFFERENTIATION_NUM_CS,MATCH(C242,PT_DIFFERENTIATION_CS_ID,0))</f>
        <v>1.14.1</v>
      </c>
      <c r="T242" s="325" t="s">
        <v>552</v>
      </c>
      <c r="U242" s="316"/>
      <c r="V242" s="2259"/>
      <c r="W242" s="2259"/>
      <c r="X242" s="2259"/>
      <c r="Y242" s="2259"/>
      <c r="Z242" s="2259"/>
      <c r="AA242" s="2260"/>
      <c r="AB242" s="2258" t="str">
        <f>INDEX(PT_DIFFERENTIATION_CS,MATCH(C242,PT_DIFFERENTIATION_CS_ID,0))</f>
        <v>с. Углекаменск, муниципального округа город Партизанск</v>
      </c>
      <c r="AC242" s="2259"/>
      <c r="AD242" s="2259"/>
      <c r="AE242" s="2259"/>
      <c r="AF242" s="2259"/>
      <c r="AG242" s="2259"/>
      <c r="AH242" s="2259"/>
      <c r="AI242" s="2259"/>
      <c r="AJ242" s="2259"/>
      <c r="AK242" s="2259"/>
      <c r="AL242" s="2259"/>
      <c r="AM242" s="2259"/>
      <c r="AN242" s="2259"/>
      <c r="AO242" s="2259"/>
      <c r="AP242" s="2259"/>
      <c r="AQ242" s="2259"/>
      <c r="AR242" s="2259"/>
      <c r="AS242" s="2259"/>
      <c r="AT242" s="2260"/>
      <c r="AU242" s="1274" t="s">
        <v>553</v>
      </c>
      <c r="AV242" s="1658"/>
      <c r="AW242" s="1640"/>
      <c r="AX242" s="1640" t="str">
        <f>IF(T242="","",T242)</f>
        <v>Наименование системы теплоснабжения </v>
      </c>
      <c r="AY242" s="1640"/>
      <c r="AZ242" s="1640"/>
      <c r="BA242" s="1651">
        <v>0</v>
      </c>
    </row>
    <row s="1866" customFormat="1" customHeight="1" ht="21">
      <c r="A243" s="1379"/>
      <c r="B243" s="1379"/>
      <c r="C243" s="1379"/>
      <c r="D243" s="1379" t="s">
        <v>321</v>
      </c>
      <c r="E243" s="2275"/>
      <c r="F243" s="2275" t="s">
        <v>28</v>
      </c>
      <c r="G243" s="2275"/>
      <c r="H243" s="2274">
        <v>1</v>
      </c>
      <c r="I243" s="1379"/>
      <c r="J243" s="1379"/>
      <c r="K243" s="1379"/>
      <c r="L243" s="1385"/>
      <c r="M243" s="1381"/>
      <c r="N243" s="1381"/>
      <c r="O243" s="1381"/>
      <c r="P243" s="1428"/>
      <c r="Q243" s="1427"/>
      <c r="R243" s="369"/>
      <c r="S243" s="2289" t="str">
        <f>INDEX(PT_DIFFERENTIATION_NUM_IST_TE,MATCH(D243,PT_DIFFERENTIATION_IST_TE_ID,0))</f>
        <v>1.14.1.1</v>
      </c>
      <c r="T243" s="326" t="s">
        <v>554</v>
      </c>
      <c r="U243" s="316"/>
      <c r="V243" s="2259"/>
      <c r="W243" s="2259"/>
      <c r="X243" s="2259"/>
      <c r="Y243" s="2259"/>
      <c r="Z243" s="2259"/>
      <c r="AA243" s="2260"/>
      <c r="AB243" s="2258" t="str">
        <f>INDEX(PT_DIFFERENTIATION_IST_TE,MATCH(D243,PT_DIFFERENTIATION_IST_TE_ID,0))</f>
        <v>без дифференциации</v>
      </c>
      <c r="AC243" s="2259"/>
      <c r="AD243" s="2259"/>
      <c r="AE243" s="2259"/>
      <c r="AF243" s="2259"/>
      <c r="AG243" s="2259"/>
      <c r="AH243" s="2259"/>
      <c r="AI243" s="2259"/>
      <c r="AJ243" s="2259"/>
      <c r="AK243" s="2259"/>
      <c r="AL243" s="2259"/>
      <c r="AM243" s="2259"/>
      <c r="AN243" s="2259"/>
      <c r="AO243" s="2259"/>
      <c r="AP243" s="2259"/>
      <c r="AQ243" s="2259"/>
      <c r="AR243" s="2259"/>
      <c r="AS243" s="2259"/>
      <c r="AT243" s="2260"/>
      <c r="AU243" s="1274" t="s">
        <v>555</v>
      </c>
      <c r="AV243" s="1658"/>
      <c r="AW243" s="1640"/>
      <c r="AX243" s="1640" t="str">
        <f>IF(T243="","",T243)</f>
        <v>Источник тепловой энергии  </v>
      </c>
      <c r="AY243" s="1640"/>
      <c r="AZ243" s="1640"/>
      <c r="BA243" s="1651">
        <v>0</v>
      </c>
    </row>
    <row s="638" customFormat="1" customHeight="1" ht="0.75">
      <c r="A244" s="1359"/>
      <c r="B244" s="1359"/>
      <c r="C244" s="1359"/>
      <c r="D244" s="1359"/>
      <c r="E244" s="2275"/>
      <c r="F244" s="2275" t="s">
        <v>28</v>
      </c>
      <c r="G244" s="2275"/>
      <c r="H244" s="2275"/>
      <c r="I244" s="2272" t="str">
        <f>S243&amp;".1"</f>
        <v>1.14.1.1.1</v>
      </c>
      <c r="J244" s="1359"/>
      <c r="K244" s="1359"/>
      <c r="L244" s="1561" t="s">
        <v>556</v>
      </c>
      <c r="M244" s="526"/>
      <c r="N244" s="526"/>
      <c r="O244" s="526"/>
      <c r="P244" s="2390">
        <v>1</v>
      </c>
      <c r="Q244" s="2390"/>
      <c r="R244" s="372"/>
      <c r="S244" s="2320"/>
      <c r="T244" s="1399"/>
      <c r="U244" s="1400"/>
      <c r="V244" s="2313"/>
      <c r="W244" s="2313"/>
      <c r="X244" s="2313"/>
      <c r="Y244" s="2313"/>
      <c r="Z244" s="2313"/>
      <c r="AA244" s="2314"/>
      <c r="AB244" s="2312"/>
      <c r="AC244" s="2313"/>
      <c r="AD244" s="2313"/>
      <c r="AE244" s="2313"/>
      <c r="AF244" s="2313"/>
      <c r="AG244" s="2313"/>
      <c r="AH244" s="2313"/>
      <c r="AI244" s="2313"/>
      <c r="AJ244" s="2313"/>
      <c r="AK244" s="2313"/>
      <c r="AL244" s="2313"/>
      <c r="AM244" s="2313"/>
      <c r="AN244" s="2313"/>
      <c r="AO244" s="2313"/>
      <c r="AP244" s="2313"/>
      <c r="AQ244" s="2313"/>
      <c r="AR244" s="2313"/>
      <c r="AS244" s="2313"/>
      <c r="AT244" s="2314"/>
      <c r="AU244" s="1401"/>
      <c r="AV244" s="1658"/>
      <c r="AW244" s="1640"/>
      <c r="AX244" s="1640" t="str">
        <f>IF(T244="","",T244)</f>
        <v/>
      </c>
      <c r="AY244" s="1640"/>
      <c r="AZ244" s="1640"/>
      <c r="BA244" s="1658">
        <v>0</v>
      </c>
    </row>
    <row s="638" customFormat="1" customHeight="1" ht="0.75">
      <c r="A245" s="1359"/>
      <c r="B245" s="1359"/>
      <c r="C245" s="1359"/>
      <c r="D245" s="1359"/>
      <c r="E245" s="2275"/>
      <c r="F245" s="2275" t="s">
        <v>28</v>
      </c>
      <c r="G245" s="2275"/>
      <c r="H245" s="2275"/>
      <c r="I245" s="2302"/>
      <c r="J245" s="2272" t="str">
        <f>S243&amp;".1"</f>
        <v>1.14.1.1.1</v>
      </c>
      <c r="K245" s="1359"/>
      <c r="L245" s="1561"/>
      <c r="M245" s="526"/>
      <c r="N245" s="526"/>
      <c r="O245" s="526"/>
      <c r="P245" s="2390"/>
      <c r="Q245" s="2390">
        <v>1</v>
      </c>
      <c r="R245" s="373"/>
      <c r="S245" s="2320"/>
      <c r="T245" s="1415"/>
      <c r="U245" s="1400"/>
      <c r="V245" s="2313"/>
      <c r="W245" s="2313"/>
      <c r="X245" s="2313"/>
      <c r="Y245" s="2313"/>
      <c r="Z245" s="2313"/>
      <c r="AA245" s="2314"/>
      <c r="AB245" s="2312"/>
      <c r="AC245" s="2313"/>
      <c r="AD245" s="2313"/>
      <c r="AE245" s="2313"/>
      <c r="AF245" s="2313"/>
      <c r="AG245" s="2313"/>
      <c r="AH245" s="2313"/>
      <c r="AI245" s="2313"/>
      <c r="AJ245" s="2313"/>
      <c r="AK245" s="2313"/>
      <c r="AL245" s="2313"/>
      <c r="AM245" s="2313"/>
      <c r="AN245" s="2313"/>
      <c r="AO245" s="2313"/>
      <c r="AP245" s="2313"/>
      <c r="AQ245" s="2313"/>
      <c r="AR245" s="2313"/>
      <c r="AS245" s="2313"/>
      <c r="AT245" s="2314"/>
      <c r="AU245" s="1401"/>
      <c r="AV245" s="1658"/>
      <c r="AW245" s="1640"/>
      <c r="AX245" s="1640" t="str">
        <f>IF(T245="","",T245)</f>
        <v/>
      </c>
      <c r="AY245" s="1640"/>
      <c r="AZ245" s="1640"/>
      <c r="BA245" s="1658">
        <v>0</v>
      </c>
    </row>
    <row s="1866" customFormat="1" customHeight="1" ht="21">
      <c r="A246" s="1379"/>
      <c r="B246" s="1379"/>
      <c r="C246" s="1379"/>
      <c r="D246" s="1379"/>
      <c r="E246" s="2275"/>
      <c r="F246" s="2275" t="s">
        <v>28</v>
      </c>
      <c r="G246" s="2275"/>
      <c r="H246" s="2275"/>
      <c r="I246" s="2302"/>
      <c r="J246" s="2302"/>
      <c r="K246" s="2272" t="str">
        <f>S243&amp;".1"</f>
        <v>1.14.1.1.1</v>
      </c>
      <c r="L246" s="1385"/>
      <c r="M246" s="1792"/>
      <c r="N246" s="1792"/>
      <c r="O246" s="1792"/>
      <c r="P246" s="2390"/>
      <c r="Q246" s="2390"/>
      <c r="R246" s="2363">
        <v>1</v>
      </c>
      <c r="S246" s="2357" t="str">
        <f>$K246</f>
        <v>1.14.1.1.1</v>
      </c>
      <c r="T246" s="2360" t="s">
        <v>630</v>
      </c>
      <c r="U246" s="316"/>
      <c r="V246" s="767"/>
      <c r="W246" s="1273"/>
      <c r="X246" s="2618"/>
      <c r="Y246" s="2123" t="s">
        <v>64</v>
      </c>
      <c r="Z246" s="2618"/>
      <c r="AA246" s="2123" t="s">
        <v>64</v>
      </c>
      <c r="AB246" s="2123" t="s">
        <v>19</v>
      </c>
      <c r="AC246" s="2342"/>
      <c r="AD246" s="2453">
        <v>1</v>
      </c>
      <c r="AE246" s="2364" t="s">
        <v>28</v>
      </c>
      <c r="AF246" s="2123" t="s">
        <v>19</v>
      </c>
      <c r="AG246" s="2342"/>
      <c r="AH246" s="2453">
        <v>1</v>
      </c>
      <c r="AI246" s="2364" t="s">
        <v>28</v>
      </c>
      <c r="AJ246" s="2123" t="s">
        <v>19</v>
      </c>
      <c r="AK246" s="327"/>
      <c r="AL246" s="2453">
        <v>1</v>
      </c>
      <c r="AM246" s="1540" t="s">
        <v>28</v>
      </c>
      <c r="AN246" s="767"/>
      <c r="AO246" s="1273">
        <v>156.788</v>
      </c>
      <c r="AP246" s="2618">
        <v>45909</v>
      </c>
      <c r="AQ246" s="2123" t="s">
        <v>64</v>
      </c>
      <c r="AR246" s="2618">
        <v>46022</v>
      </c>
      <c r="AS246" s="2123" t="s">
        <v>64</v>
      </c>
      <c r="AT246" s="1364"/>
      <c r="AU246" s="2269" t="s">
        <v>613</v>
      </c>
      <c r="AV246" s="1658">
        <f>STRCHECKDATE(V249:AT249)</f>
      </c>
      <c r="AW246" s="1640"/>
      <c r="AX246" s="1640" t="str">
        <f>IF(T246="","",T246)</f>
        <v>Котельная</v>
      </c>
      <c r="AY246" s="1640"/>
      <c r="AZ246" s="1640"/>
      <c r="BA246" s="1651">
        <v>0</v>
      </c>
    </row>
    <row s="1866" customFormat="1" customHeight="1" ht="11.25">
      <c r="A247" s="1379"/>
      <c r="B247" s="1379"/>
      <c r="C247" s="1379"/>
      <c r="D247" s="1379"/>
      <c r="E247" s="2275"/>
      <c r="F247" s="2275" t="s">
        <v>28</v>
      </c>
      <c r="G247" s="2275"/>
      <c r="H247" s="2275"/>
      <c r="I247" s="2302"/>
      <c r="J247" s="2302"/>
      <c r="K247" s="2272"/>
      <c r="L247" s="1385"/>
      <c r="M247" s="1792"/>
      <c r="N247" s="1792"/>
      <c r="O247" s="1792"/>
      <c r="P247" s="2390"/>
      <c r="Q247" s="2390"/>
      <c r="R247" s="2363"/>
      <c r="S247" s="2358"/>
      <c r="T247" s="2361"/>
      <c r="U247" s="316"/>
      <c r="V247" s="3987"/>
      <c r="W247" s="3988"/>
      <c r="X247" s="2618"/>
      <c r="Y247" s="2123"/>
      <c r="Z247" s="2618"/>
      <c r="AA247" s="2123"/>
      <c r="AB247" s="2123"/>
      <c r="AC247" s="2342"/>
      <c r="AD247" s="2453"/>
      <c r="AE247" s="2364" t="s">
        <v>28</v>
      </c>
      <c r="AF247" s="2123"/>
      <c r="AG247" s="2342"/>
      <c r="AH247" s="2453"/>
      <c r="AI247" s="2364" t="s">
        <v>28</v>
      </c>
      <c r="AJ247" s="2123"/>
      <c r="AK247" s="3989"/>
      <c r="AL247" s="3990"/>
      <c r="AM247" s="3991" t="s">
        <v>614</v>
      </c>
      <c r="AN247" s="3992"/>
      <c r="AO247" s="3993"/>
      <c r="AP247" s="3994"/>
      <c r="AQ247" s="3995"/>
      <c r="AR247" s="3996"/>
      <c r="AS247" s="3997"/>
      <c r="AT247" s="1406"/>
      <c r="AU247" s="2270"/>
      <c r="AV247" s="1658"/>
      <c r="AW247" s="1640"/>
      <c r="AX247" s="1640"/>
      <c r="AY247" s="1640"/>
      <c r="AZ247" s="1640"/>
      <c r="BA247" s="1651">
        <v>0</v>
      </c>
    </row>
    <row s="1866" customFormat="1" customHeight="1" ht="11.25">
      <c r="A248" s="1379"/>
      <c r="B248" s="1379"/>
      <c r="C248" s="1379"/>
      <c r="D248" s="1379"/>
      <c r="E248" s="2275"/>
      <c r="F248" s="2275" t="s">
        <v>28</v>
      </c>
      <c r="G248" s="2275"/>
      <c r="H248" s="2275"/>
      <c r="I248" s="2302"/>
      <c r="J248" s="2302"/>
      <c r="K248" s="2272"/>
      <c r="L248" s="1385"/>
      <c r="M248" s="1792"/>
      <c r="N248" s="1792"/>
      <c r="O248" s="1792"/>
      <c r="P248" s="2390"/>
      <c r="Q248" s="2390"/>
      <c r="R248" s="2363"/>
      <c r="S248" s="2358"/>
      <c r="T248" s="2361"/>
      <c r="U248" s="316"/>
      <c r="V248" s="3998"/>
      <c r="W248" s="3999"/>
      <c r="X248" s="2618"/>
      <c r="Y248" s="2123"/>
      <c r="Z248" s="2618"/>
      <c r="AA248" s="2123"/>
      <c r="AB248" s="2123"/>
      <c r="AC248" s="2342"/>
      <c r="AD248" s="2453"/>
      <c r="AE248" s="2364" t="s">
        <v>28</v>
      </c>
      <c r="AF248" s="2123"/>
      <c r="AG248" s="4000"/>
      <c r="AH248" s="4001"/>
      <c r="AI248" s="4002" t="s">
        <v>615</v>
      </c>
      <c r="AJ248" s="4003"/>
      <c r="AK248" s="4004"/>
      <c r="AL248" s="4005"/>
      <c r="AM248" s="4006"/>
      <c r="AN248" s="4007"/>
      <c r="AO248" s="4008"/>
      <c r="AP248" s="4009"/>
      <c r="AQ248" s="4010"/>
      <c r="AR248" s="4011"/>
      <c r="AS248" s="4012"/>
      <c r="AT248" s="1406"/>
      <c r="AU248" s="2270"/>
      <c r="AV248" s="1658"/>
      <c r="AW248" s="1640"/>
      <c r="AX248" s="1640"/>
      <c r="AY248" s="1640"/>
      <c r="AZ248" s="1640"/>
      <c r="BA248" s="1651">
        <v>0</v>
      </c>
    </row>
    <row s="1866" customFormat="1" customHeight="1" ht="11.25">
      <c r="A249" s="1379"/>
      <c r="B249" s="1379"/>
      <c r="C249" s="1379"/>
      <c r="D249" s="1379"/>
      <c r="E249" s="2275"/>
      <c r="F249" s="2275" t="s">
        <v>28</v>
      </c>
      <c r="G249" s="2275"/>
      <c r="H249" s="2275"/>
      <c r="I249" s="2302"/>
      <c r="J249" s="2302"/>
      <c r="K249" s="2272"/>
      <c r="L249" s="1385"/>
      <c r="M249" s="1792"/>
      <c r="N249" s="1792"/>
      <c r="O249" s="1792"/>
      <c r="P249" s="2390"/>
      <c r="Q249" s="2390"/>
      <c r="R249" s="2363"/>
      <c r="S249" s="2359"/>
      <c r="T249" s="2362"/>
      <c r="U249" s="316"/>
      <c r="V249" s="4013"/>
      <c r="W249" s="4014" t="str">
        <f>X246&amp;"-"&amp;Z246</f>
        <v>-</v>
      </c>
      <c r="X249" s="2325"/>
      <c r="Y249" s="2123"/>
      <c r="Z249" s="2325"/>
      <c r="AA249" s="2123"/>
      <c r="AB249" s="2123"/>
      <c r="AC249" s="4015"/>
      <c r="AD249" s="4016"/>
      <c r="AE249" s="4017" t="s">
        <v>616</v>
      </c>
      <c r="AF249" s="4018"/>
      <c r="AG249" s="4019"/>
      <c r="AH249" s="4020"/>
      <c r="AI249" s="4021"/>
      <c r="AJ249" s="4022"/>
      <c r="AK249" s="4023"/>
      <c r="AL249" s="4024"/>
      <c r="AM249" s="4025"/>
      <c r="AN249" s="4026"/>
      <c r="AO249" s="4027" t="str">
        <f>AP246&amp;"-"&amp;AR246</f>
        <v>45909-46022</v>
      </c>
      <c r="AP249" s="4028"/>
      <c r="AQ249" s="4029"/>
      <c r="AR249" s="4030"/>
      <c r="AS249" s="4031"/>
      <c r="AT249" s="1365"/>
      <c r="AU249" s="2270"/>
      <c r="AV249" s="1658"/>
      <c r="AW249" s="1640"/>
      <c r="AX249" s="1640" t="str">
        <f>IF(T249="","",T249)</f>
        <v/>
      </c>
      <c r="AY249" s="1640"/>
      <c r="AZ249" s="1640"/>
      <c r="BA249" s="1651">
        <v>0</v>
      </c>
    </row>
    <row s="1866" customFormat="1" customHeight="1" ht="11.25">
      <c r="A250" s="1379"/>
      <c r="B250" s="1379"/>
      <c r="C250" s="1379"/>
      <c r="D250" s="1379"/>
      <c r="E250" s="2275"/>
      <c r="F250" s="2275" t="s">
        <v>28</v>
      </c>
      <c r="G250" s="2275"/>
      <c r="H250" s="2275"/>
      <c r="I250" s="2302"/>
      <c r="J250" s="2272"/>
      <c r="K250" s="1379"/>
      <c r="L250" s="1385"/>
      <c r="M250" s="1792"/>
      <c r="N250" s="1792"/>
      <c r="O250" s="1792"/>
      <c r="P250" s="2390"/>
      <c r="Q250" s="2390"/>
      <c r="R250" s="372"/>
      <c r="S250" s="4032"/>
      <c r="T250" s="4033" t="s">
        <v>617</v>
      </c>
      <c r="U250" s="4034"/>
      <c r="V250" s="4035"/>
      <c r="W250" s="4036"/>
      <c r="X250" s="4037"/>
      <c r="Y250" s="4038"/>
      <c r="Z250" s="4039"/>
      <c r="AA250" s="4040"/>
      <c r="AB250" s="4041"/>
      <c r="AC250" s="4042"/>
      <c r="AD250" s="4043"/>
      <c r="AE250" s="4044"/>
      <c r="AF250" s="4045"/>
      <c r="AG250" s="4046"/>
      <c r="AH250" s="4047"/>
      <c r="AI250" s="4048"/>
      <c r="AJ250" s="4049"/>
      <c r="AK250" s="4050"/>
      <c r="AL250" s="4051"/>
      <c r="AM250" s="4052"/>
      <c r="AN250" s="4053"/>
      <c r="AO250" s="4054"/>
      <c r="AP250" s="4055"/>
      <c r="AQ250" s="4056"/>
      <c r="AR250" s="4057"/>
      <c r="AS250" s="4058"/>
      <c r="AT250" s="4059"/>
      <c r="AU250" s="2271"/>
      <c r="AV250" s="1658"/>
      <c r="AW250" s="1640"/>
      <c r="AX250" s="1640" t="str">
        <f>IF(T250="","",T250)</f>
        <v>Добавить строку</v>
      </c>
      <c r="AY250" s="1640"/>
      <c r="AZ250" s="1640"/>
      <c r="BA250" s="1651">
        <v>0</v>
      </c>
    </row>
    <row s="638" customFormat="1" customHeight="1" ht="0.75">
      <c r="A251" s="1359"/>
      <c r="B251" s="1359"/>
      <c r="C251" s="1359"/>
      <c r="D251" s="1359"/>
      <c r="E251" s="2275"/>
      <c r="F251" s="2275" t="s">
        <v>28</v>
      </c>
      <c r="G251" s="2275"/>
      <c r="H251" s="2275"/>
      <c r="I251" s="2272"/>
      <c r="J251" s="1359"/>
      <c r="K251" s="1359"/>
      <c r="L251" s="1561"/>
      <c r="M251" s="526"/>
      <c r="N251" s="526"/>
      <c r="O251" s="526"/>
      <c r="P251" s="2390"/>
      <c r="Q251" s="2390"/>
      <c r="R251" s="372"/>
      <c r="S251" s="1402"/>
      <c r="T251" s="1403"/>
      <c r="U251" s="1404"/>
      <c r="V251" s="1404"/>
      <c r="W251" s="1404"/>
      <c r="X251" s="1404"/>
      <c r="Y251" s="1404"/>
      <c r="Z251" s="1404"/>
      <c r="AA251" s="1404"/>
      <c r="AB251" s="1404"/>
      <c r="AC251" s="1404"/>
      <c r="AD251" s="1404"/>
      <c r="AE251" s="1404"/>
      <c r="AF251" s="1404"/>
      <c r="AG251" s="1404"/>
      <c r="AH251" s="1404"/>
      <c r="AI251" s="1404"/>
      <c r="AJ251" s="1404"/>
      <c r="AK251" s="1404"/>
      <c r="AL251" s="1404"/>
      <c r="AM251" s="1404"/>
      <c r="AN251" s="1404"/>
      <c r="AO251" s="1404"/>
      <c r="AP251" s="1404"/>
      <c r="AQ251" s="1404"/>
      <c r="AR251" s="1404"/>
      <c r="AS251" s="1404"/>
      <c r="AT251" s="1404"/>
      <c r="AU251" s="1405"/>
      <c r="AV251" s="1658"/>
      <c r="AW251" s="1640"/>
      <c r="AX251" s="1640" t="str">
        <f>IF(T251="","",T251)</f>
        <v/>
      </c>
      <c r="AY251" s="1640"/>
      <c r="AZ251" s="1640"/>
      <c r="BA251" s="1658">
        <v>0</v>
      </c>
    </row>
    <row s="638" customFormat="1" customHeight="1" ht="0.75">
      <c r="A252" s="1359"/>
      <c r="B252" s="1359"/>
      <c r="C252" s="1359"/>
      <c r="D252" s="1359"/>
      <c r="E252" s="2275"/>
      <c r="F252" s="2275" t="s">
        <v>28</v>
      </c>
      <c r="G252" s="2275"/>
      <c r="H252" s="2274"/>
      <c r="I252" s="1359"/>
      <c r="J252" s="1359"/>
      <c r="K252" s="1359"/>
      <c r="L252" s="1561"/>
      <c r="M252" s="1331"/>
      <c r="N252" s="1331"/>
      <c r="O252" s="1658"/>
      <c r="P252" s="1332"/>
      <c r="Q252" s="1360"/>
      <c r="R252" s="1417"/>
      <c r="S252" s="1402"/>
      <c r="T252" s="1403"/>
      <c r="U252" s="1404"/>
      <c r="V252" s="1404"/>
      <c r="W252" s="1404"/>
      <c r="X252" s="1404"/>
      <c r="Y252" s="1404"/>
      <c r="Z252" s="1404"/>
      <c r="AA252" s="1404"/>
      <c r="AB252" s="1404"/>
      <c r="AC252" s="1404"/>
      <c r="AD252" s="1404"/>
      <c r="AE252" s="1404"/>
      <c r="AF252" s="1404"/>
      <c r="AG252" s="1404"/>
      <c r="AH252" s="1404"/>
      <c r="AI252" s="1404"/>
      <c r="AJ252" s="1404"/>
      <c r="AK252" s="1404"/>
      <c r="AL252" s="1404"/>
      <c r="AM252" s="1404"/>
      <c r="AN252" s="1404"/>
      <c r="AO252" s="1404"/>
      <c r="AP252" s="1404"/>
      <c r="AQ252" s="1404"/>
      <c r="AR252" s="1404"/>
      <c r="AS252" s="1404"/>
      <c r="AT252" s="1404"/>
      <c r="AU252" s="1405"/>
      <c r="AV252" s="1658"/>
      <c r="AW252" s="1640"/>
      <c r="AX252" s="1640" t="str">
        <f>IF(T252="","",T252)</f>
        <v/>
      </c>
      <c r="AY252" s="1640"/>
      <c r="AZ252" s="1640"/>
      <c r="BA252" s="1658">
        <v>0</v>
      </c>
    </row>
    <row s="638" customFormat="1" customHeight="1" ht="0.75">
      <c r="A253" s="1359"/>
      <c r="B253" s="1359"/>
      <c r="C253" s="1359"/>
      <c r="D253" s="1359"/>
      <c r="E253" s="2275"/>
      <c r="F253" s="2275" t="s">
        <v>28</v>
      </c>
      <c r="G253" s="2274"/>
      <c r="H253" s="1359"/>
      <c r="I253" s="1359"/>
      <c r="J253" s="1359"/>
      <c r="K253" s="1359"/>
      <c r="L253" s="1561"/>
      <c r="M253" s="1331"/>
      <c r="N253" s="1331"/>
      <c r="O253" s="1658"/>
      <c r="P253" s="1332"/>
      <c r="Q253" s="1360"/>
      <c r="R253" s="1332"/>
      <c r="S253" s="1338"/>
      <c r="T253" s="1341" t="s">
        <v>268</v>
      </c>
      <c r="U253" s="1340"/>
      <c r="V253" s="1340"/>
      <c r="W253" s="1340"/>
      <c r="X253" s="1340"/>
      <c r="Y253" s="1340"/>
      <c r="Z253" s="1340"/>
      <c r="AA253" s="1340"/>
      <c r="AB253" s="1340"/>
      <c r="AC253" s="1340"/>
      <c r="AD253" s="1340"/>
      <c r="AE253" s="1340"/>
      <c r="AF253" s="1340"/>
      <c r="AG253" s="1340"/>
      <c r="AH253" s="1340"/>
      <c r="AI253" s="1340"/>
      <c r="AJ253" s="1340"/>
      <c r="AK253" s="1340"/>
      <c r="AL253" s="1340"/>
      <c r="AM253" s="1340"/>
      <c r="AN253" s="1340"/>
      <c r="AO253" s="1340"/>
      <c r="AP253" s="1340"/>
      <c r="AQ253" s="1340"/>
      <c r="AR253" s="1340"/>
      <c r="AS253" s="1340"/>
      <c r="AT253" s="1340"/>
      <c r="AU253" s="1340"/>
      <c r="AV253" s="1658"/>
      <c r="AW253" s="1640"/>
      <c r="AX253" s="1640" t="str">
        <f>IF(T253="","",T253)</f>
        <v>Добавить источник для дифференциации</v>
      </c>
      <c r="AY253" s="1640"/>
      <c r="AZ253" s="1640"/>
      <c r="BA253" s="1658">
        <v>0</v>
      </c>
    </row>
    <row s="638" customFormat="1" customHeight="1" ht="0.75">
      <c r="A254" s="1359"/>
      <c r="B254" s="1359"/>
      <c r="C254" s="1359"/>
      <c r="D254" s="1359"/>
      <c r="E254" s="2275"/>
      <c r="F254" s="2274" t="s">
        <v>28</v>
      </c>
      <c r="G254" s="1359"/>
      <c r="H254" s="1359"/>
      <c r="I254" s="1359"/>
      <c r="J254" s="1359"/>
      <c r="K254" s="1359"/>
      <c r="L254" s="1561"/>
      <c r="M254" s="1337"/>
      <c r="N254" s="1337"/>
      <c r="O254" s="1658"/>
      <c r="P254" s="1332"/>
      <c r="Q254" s="1360"/>
      <c r="R254" s="1332"/>
      <c r="S254" s="1338"/>
      <c r="T254" s="1341" t="s">
        <v>269</v>
      </c>
      <c r="U254" s="1340"/>
      <c r="V254" s="1340"/>
      <c r="W254" s="1340"/>
      <c r="X254" s="1340"/>
      <c r="Y254" s="1340"/>
      <c r="Z254" s="1340"/>
      <c r="AA254" s="1340"/>
      <c r="AB254" s="1340"/>
      <c r="AC254" s="1340"/>
      <c r="AD254" s="1340"/>
      <c r="AE254" s="1340"/>
      <c r="AF254" s="1340"/>
      <c r="AG254" s="1340"/>
      <c r="AH254" s="1340"/>
      <c r="AI254" s="1340"/>
      <c r="AJ254" s="1340"/>
      <c r="AK254" s="1340"/>
      <c r="AL254" s="1340"/>
      <c r="AM254" s="1340"/>
      <c r="AN254" s="1340"/>
      <c r="AO254" s="1340"/>
      <c r="AP254" s="1340"/>
      <c r="AQ254" s="1340"/>
      <c r="AR254" s="1340"/>
      <c r="AS254" s="1340"/>
      <c r="AT254" s="1340"/>
      <c r="AU254" s="1340"/>
      <c r="AV254" s="1658"/>
      <c r="AW254" s="1640"/>
      <c r="AX254" s="1640" t="str">
        <f>IF(T254="","",T254)</f>
        <v>Добавить централизованную систему для дифференциации</v>
      </c>
      <c r="AY254" s="1640"/>
      <c r="AZ254" s="1640"/>
      <c r="BA254" s="1658">
        <v>0</v>
      </c>
    </row>
    <row s="1866" customFormat="1" customHeight="1" ht="21">
      <c r="A255" s="1379"/>
      <c r="B255" s="1379" t="s">
        <v>323</v>
      </c>
      <c r="C255" s="1379"/>
      <c r="D255" s="1379"/>
      <c r="E255" s="2275"/>
      <c r="F255" s="2274" t="s">
        <v>28</v>
      </c>
      <c r="G255" s="1379"/>
      <c r="H255" s="1379"/>
      <c r="I255" s="1379"/>
      <c r="J255" s="1379"/>
      <c r="K255" s="1379"/>
      <c r="L255" s="1385"/>
      <c r="M255" s="1381"/>
      <c r="N255" s="1381"/>
      <c r="O255" s="1381"/>
      <c r="P255" s="2623"/>
      <c r="Q255" s="1427"/>
      <c r="R255" s="369"/>
      <c r="S255" s="2289" t="str">
        <f>INDEX(PT_DIFFERENTIATION_NUM_TER,MATCH(B255,PT_DIFFERENTIATION_TER_ID,0))</f>
        <v>1.15</v>
      </c>
      <c r="T255" s="1538" t="s">
        <v>550</v>
      </c>
      <c r="U255" s="316"/>
      <c r="V255" s="2259"/>
      <c r="W255" s="2259"/>
      <c r="X255" s="2259"/>
      <c r="Y255" s="2259"/>
      <c r="Z255" s="2259"/>
      <c r="AA255" s="2260"/>
      <c r="AB255" s="2258" t="str">
        <f>INDEX(PT_DIFFERENTIATION_TER,MATCH(B255,PT_DIFFERENTIATION_TER_ID,0))</f>
        <v>Территория 15</v>
      </c>
      <c r="AC255" s="2259"/>
      <c r="AD255" s="2259"/>
      <c r="AE255" s="2259"/>
      <c r="AF255" s="2259"/>
      <c r="AG255" s="2259"/>
      <c r="AH255" s="2259"/>
      <c r="AI255" s="2259"/>
      <c r="AJ255" s="2259"/>
      <c r="AK255" s="2259"/>
      <c r="AL255" s="2259"/>
      <c r="AM255" s="2259"/>
      <c r="AN255" s="2259"/>
      <c r="AO255" s="2259"/>
      <c r="AP255" s="2259"/>
      <c r="AQ255" s="2259"/>
      <c r="AR255" s="2259"/>
      <c r="AS255" s="2259"/>
      <c r="AT255" s="2260"/>
      <c r="AU255" s="1274" t="s">
        <v>551</v>
      </c>
      <c r="AV255" s="1658"/>
      <c r="AW255" s="1640"/>
      <c r="AX255" s="1640" t="str">
        <f>IF(T255="","",T255)</f>
        <v>Территория действия тарифа</v>
      </c>
      <c r="AY255" s="1640"/>
      <c r="AZ255" s="1640"/>
      <c r="BA255" s="1651">
        <v>0</v>
      </c>
    </row>
    <row s="1866" customFormat="1" customHeight="1" ht="22.5">
      <c r="A256" s="1379"/>
      <c r="B256" s="1379"/>
      <c r="C256" s="1379" t="s">
        <v>324</v>
      </c>
      <c r="D256" s="1379"/>
      <c r="E256" s="2275"/>
      <c r="F256" s="2275" t="s">
        <v>28</v>
      </c>
      <c r="G256" s="2274">
        <v>1</v>
      </c>
      <c r="H256" s="1379"/>
      <c r="I256" s="1379"/>
      <c r="J256" s="1379"/>
      <c r="K256" s="1379"/>
      <c r="L256" s="1385"/>
      <c r="M256" s="1381"/>
      <c r="N256" s="1381"/>
      <c r="O256" s="1381"/>
      <c r="P256" s="1428"/>
      <c r="Q256" s="1427"/>
      <c r="R256" s="369"/>
      <c r="S256" s="2289" t="str">
        <f>INDEX(PT_DIFFERENTIATION_NUM_CS,MATCH(C256,PT_DIFFERENTIATION_CS_ID,0))</f>
        <v>1.15.1</v>
      </c>
      <c r="T256" s="325" t="s">
        <v>552</v>
      </c>
      <c r="U256" s="316"/>
      <c r="V256" s="2259"/>
      <c r="W256" s="2259"/>
      <c r="X256" s="2259"/>
      <c r="Y256" s="2259"/>
      <c r="Z256" s="2259"/>
      <c r="AA256" s="2260"/>
      <c r="AB256" s="2258" t="str">
        <f>INDEX(PT_DIFFERENTIATION_CS,MATCH(C256,PT_DIFFERENTIATION_CS_ID,0))</f>
        <v>пос. Волчанец, Партизанского муниципального округа</v>
      </c>
      <c r="AC256" s="2259"/>
      <c r="AD256" s="2259"/>
      <c r="AE256" s="2259"/>
      <c r="AF256" s="2259"/>
      <c r="AG256" s="2259"/>
      <c r="AH256" s="2259"/>
      <c r="AI256" s="2259"/>
      <c r="AJ256" s="2259"/>
      <c r="AK256" s="2259"/>
      <c r="AL256" s="2259"/>
      <c r="AM256" s="2259"/>
      <c r="AN256" s="2259"/>
      <c r="AO256" s="2259"/>
      <c r="AP256" s="2259"/>
      <c r="AQ256" s="2259"/>
      <c r="AR256" s="2259"/>
      <c r="AS256" s="2259"/>
      <c r="AT256" s="2260"/>
      <c r="AU256" s="1274" t="s">
        <v>553</v>
      </c>
      <c r="AV256" s="1658"/>
      <c r="AW256" s="1640"/>
      <c r="AX256" s="1640" t="str">
        <f>IF(T256="","",T256)</f>
        <v>Наименование системы теплоснабжения </v>
      </c>
      <c r="AY256" s="1640"/>
      <c r="AZ256" s="1640"/>
      <c r="BA256" s="1651">
        <v>0</v>
      </c>
    </row>
    <row s="1866" customFormat="1" customHeight="1" ht="21">
      <c r="A257" s="1379"/>
      <c r="B257" s="1379"/>
      <c r="C257" s="1379"/>
      <c r="D257" s="1379" t="s">
        <v>325</v>
      </c>
      <c r="E257" s="2275"/>
      <c r="F257" s="2275" t="s">
        <v>28</v>
      </c>
      <c r="G257" s="2275"/>
      <c r="H257" s="2274">
        <v>1</v>
      </c>
      <c r="I257" s="1379"/>
      <c r="J257" s="1379"/>
      <c r="K257" s="1379"/>
      <c r="L257" s="1385"/>
      <c r="M257" s="1381"/>
      <c r="N257" s="1381"/>
      <c r="O257" s="1381"/>
      <c r="P257" s="1428"/>
      <c r="Q257" s="1427"/>
      <c r="R257" s="369"/>
      <c r="S257" s="2289" t="str">
        <f>INDEX(PT_DIFFERENTIATION_NUM_IST_TE,MATCH(D257,PT_DIFFERENTIATION_IST_TE_ID,0))</f>
        <v>1.15.1.1</v>
      </c>
      <c r="T257" s="326" t="s">
        <v>554</v>
      </c>
      <c r="U257" s="316"/>
      <c r="V257" s="2259"/>
      <c r="W257" s="2259"/>
      <c r="X257" s="2259"/>
      <c r="Y257" s="2259"/>
      <c r="Z257" s="2259"/>
      <c r="AA257" s="2260"/>
      <c r="AB257" s="2258" t="str">
        <f>INDEX(PT_DIFFERENTIATION_IST_TE,MATCH(D257,PT_DIFFERENTIATION_IST_TE_ID,0))</f>
        <v>без дифференциации</v>
      </c>
      <c r="AC257" s="2259"/>
      <c r="AD257" s="2259"/>
      <c r="AE257" s="2259"/>
      <c r="AF257" s="2259"/>
      <c r="AG257" s="2259"/>
      <c r="AH257" s="2259"/>
      <c r="AI257" s="2259"/>
      <c r="AJ257" s="2259"/>
      <c r="AK257" s="2259"/>
      <c r="AL257" s="2259"/>
      <c r="AM257" s="2259"/>
      <c r="AN257" s="2259"/>
      <c r="AO257" s="2259"/>
      <c r="AP257" s="2259"/>
      <c r="AQ257" s="2259"/>
      <c r="AR257" s="2259"/>
      <c r="AS257" s="2259"/>
      <c r="AT257" s="2260"/>
      <c r="AU257" s="1274" t="s">
        <v>555</v>
      </c>
      <c r="AV257" s="1658"/>
      <c r="AW257" s="1640"/>
      <c r="AX257" s="1640" t="str">
        <f>IF(T257="","",T257)</f>
        <v>Источник тепловой энергии  </v>
      </c>
      <c r="AY257" s="1640"/>
      <c r="AZ257" s="1640"/>
      <c r="BA257" s="1651">
        <v>0</v>
      </c>
    </row>
    <row s="638" customFormat="1" customHeight="1" ht="0.75">
      <c r="A258" s="1359"/>
      <c r="B258" s="1359"/>
      <c r="C258" s="1359"/>
      <c r="D258" s="1359"/>
      <c r="E258" s="2275"/>
      <c r="F258" s="2275" t="s">
        <v>28</v>
      </c>
      <c r="G258" s="2275"/>
      <c r="H258" s="2275"/>
      <c r="I258" s="2272" t="str">
        <f>S257&amp;".1"</f>
        <v>1.15.1.1.1</v>
      </c>
      <c r="J258" s="1359"/>
      <c r="K258" s="1359"/>
      <c r="L258" s="1561" t="s">
        <v>556</v>
      </c>
      <c r="M258" s="526"/>
      <c r="N258" s="526"/>
      <c r="O258" s="526"/>
      <c r="P258" s="2390">
        <v>1</v>
      </c>
      <c r="Q258" s="2390"/>
      <c r="R258" s="372"/>
      <c r="S258" s="2320"/>
      <c r="T258" s="1399"/>
      <c r="U258" s="1400"/>
      <c r="V258" s="2313"/>
      <c r="W258" s="2313"/>
      <c r="X258" s="2313"/>
      <c r="Y258" s="2313"/>
      <c r="Z258" s="2313"/>
      <c r="AA258" s="2314"/>
      <c r="AB258" s="2312"/>
      <c r="AC258" s="2313"/>
      <c r="AD258" s="2313"/>
      <c r="AE258" s="2313"/>
      <c r="AF258" s="2313"/>
      <c r="AG258" s="2313"/>
      <c r="AH258" s="2313"/>
      <c r="AI258" s="2313"/>
      <c r="AJ258" s="2313"/>
      <c r="AK258" s="2313"/>
      <c r="AL258" s="2313"/>
      <c r="AM258" s="2313"/>
      <c r="AN258" s="2313"/>
      <c r="AO258" s="2313"/>
      <c r="AP258" s="2313"/>
      <c r="AQ258" s="2313"/>
      <c r="AR258" s="2313"/>
      <c r="AS258" s="2313"/>
      <c r="AT258" s="2314"/>
      <c r="AU258" s="1401"/>
      <c r="AV258" s="1658"/>
      <c r="AW258" s="1640"/>
      <c r="AX258" s="1640" t="str">
        <f>IF(T258="","",T258)</f>
        <v/>
      </c>
      <c r="AY258" s="1640"/>
      <c r="AZ258" s="1640"/>
      <c r="BA258" s="1658">
        <v>0</v>
      </c>
    </row>
    <row s="638" customFormat="1" customHeight="1" ht="0.75">
      <c r="A259" s="1359"/>
      <c r="B259" s="1359"/>
      <c r="C259" s="1359"/>
      <c r="D259" s="1359"/>
      <c r="E259" s="2275"/>
      <c r="F259" s="2275" t="s">
        <v>28</v>
      </c>
      <c r="G259" s="2275"/>
      <c r="H259" s="2275"/>
      <c r="I259" s="2302"/>
      <c r="J259" s="2272" t="str">
        <f>S257&amp;".1"</f>
        <v>1.15.1.1.1</v>
      </c>
      <c r="K259" s="1359"/>
      <c r="L259" s="1561"/>
      <c r="M259" s="526"/>
      <c r="N259" s="526"/>
      <c r="O259" s="526"/>
      <c r="P259" s="2390"/>
      <c r="Q259" s="2390">
        <v>1</v>
      </c>
      <c r="R259" s="373"/>
      <c r="S259" s="2320"/>
      <c r="T259" s="1415"/>
      <c r="U259" s="1400"/>
      <c r="V259" s="2313"/>
      <c r="W259" s="2313"/>
      <c r="X259" s="2313"/>
      <c r="Y259" s="2313"/>
      <c r="Z259" s="2313"/>
      <c r="AA259" s="2314"/>
      <c r="AB259" s="2312"/>
      <c r="AC259" s="2313"/>
      <c r="AD259" s="2313"/>
      <c r="AE259" s="2313"/>
      <c r="AF259" s="2313"/>
      <c r="AG259" s="2313"/>
      <c r="AH259" s="2313"/>
      <c r="AI259" s="2313"/>
      <c r="AJ259" s="2313"/>
      <c r="AK259" s="2313"/>
      <c r="AL259" s="2313"/>
      <c r="AM259" s="2313"/>
      <c r="AN259" s="2313"/>
      <c r="AO259" s="2313"/>
      <c r="AP259" s="2313"/>
      <c r="AQ259" s="2313"/>
      <c r="AR259" s="2313"/>
      <c r="AS259" s="2313"/>
      <c r="AT259" s="2314"/>
      <c r="AU259" s="1401"/>
      <c r="AV259" s="1658"/>
      <c r="AW259" s="1640"/>
      <c r="AX259" s="1640" t="str">
        <f>IF(T259="","",T259)</f>
        <v/>
      </c>
      <c r="AY259" s="1640"/>
      <c r="AZ259" s="1640"/>
      <c r="BA259" s="1658">
        <v>0</v>
      </c>
    </row>
    <row s="1866" customFormat="1" customHeight="1" ht="21">
      <c r="A260" s="1379"/>
      <c r="B260" s="1379"/>
      <c r="C260" s="1379"/>
      <c r="D260" s="1379"/>
      <c r="E260" s="2275"/>
      <c r="F260" s="2275" t="s">
        <v>28</v>
      </c>
      <c r="G260" s="2275"/>
      <c r="H260" s="2275"/>
      <c r="I260" s="2302"/>
      <c r="J260" s="2302"/>
      <c r="K260" s="2272" t="str">
        <f>S257&amp;".1"</f>
        <v>1.15.1.1.1</v>
      </c>
      <c r="L260" s="1385"/>
      <c r="M260" s="1792"/>
      <c r="N260" s="1792"/>
      <c r="O260" s="1792"/>
      <c r="P260" s="2390"/>
      <c r="Q260" s="2390"/>
      <c r="R260" s="2363">
        <v>1</v>
      </c>
      <c r="S260" s="2357" t="str">
        <f>$K260</f>
        <v>1.15.1.1.1</v>
      </c>
      <c r="T260" s="2360" t="s">
        <v>630</v>
      </c>
      <c r="U260" s="316"/>
      <c r="V260" s="767"/>
      <c r="W260" s="1273"/>
      <c r="X260" s="2618"/>
      <c r="Y260" s="2123" t="s">
        <v>64</v>
      </c>
      <c r="Z260" s="2618"/>
      <c r="AA260" s="2123" t="s">
        <v>64</v>
      </c>
      <c r="AB260" s="2123" t="s">
        <v>19</v>
      </c>
      <c r="AC260" s="2342"/>
      <c r="AD260" s="2453">
        <v>1</v>
      </c>
      <c r="AE260" s="2364" t="s">
        <v>28</v>
      </c>
      <c r="AF260" s="2123" t="s">
        <v>19</v>
      </c>
      <c r="AG260" s="2342"/>
      <c r="AH260" s="2453">
        <v>1</v>
      </c>
      <c r="AI260" s="2364" t="s">
        <v>28</v>
      </c>
      <c r="AJ260" s="2123" t="s">
        <v>19</v>
      </c>
      <c r="AK260" s="327"/>
      <c r="AL260" s="2453">
        <v>1</v>
      </c>
      <c r="AM260" s="1540" t="s">
        <v>28</v>
      </c>
      <c r="AN260" s="767"/>
      <c r="AO260" s="1273">
        <v>290.868</v>
      </c>
      <c r="AP260" s="2618">
        <v>45909</v>
      </c>
      <c r="AQ260" s="2123" t="s">
        <v>64</v>
      </c>
      <c r="AR260" s="2618">
        <v>46022</v>
      </c>
      <c r="AS260" s="2123" t="s">
        <v>64</v>
      </c>
      <c r="AT260" s="1364"/>
      <c r="AU260" s="2269" t="s">
        <v>613</v>
      </c>
      <c r="AV260" s="1658">
        <f>STRCHECKDATE(V263:AT263)</f>
      </c>
      <c r="AW260" s="1640"/>
      <c r="AX260" s="1640" t="str">
        <f>IF(T260="","",T260)</f>
        <v>Котельная</v>
      </c>
      <c r="AY260" s="1640"/>
      <c r="AZ260" s="1640"/>
      <c r="BA260" s="1651">
        <v>0</v>
      </c>
    </row>
    <row s="1866" customFormat="1" customHeight="1" ht="11.25">
      <c r="A261" s="1379"/>
      <c r="B261" s="1379"/>
      <c r="C261" s="1379"/>
      <c r="D261" s="1379"/>
      <c r="E261" s="2275"/>
      <c r="F261" s="2275" t="s">
        <v>28</v>
      </c>
      <c r="G261" s="2275"/>
      <c r="H261" s="2275"/>
      <c r="I261" s="2302"/>
      <c r="J261" s="2302"/>
      <c r="K261" s="2272"/>
      <c r="L261" s="1385"/>
      <c r="M261" s="1792"/>
      <c r="N261" s="1792"/>
      <c r="O261" s="1792"/>
      <c r="P261" s="2390"/>
      <c r="Q261" s="2390"/>
      <c r="R261" s="2363"/>
      <c r="S261" s="2358"/>
      <c r="T261" s="2361"/>
      <c r="U261" s="316"/>
      <c r="V261" s="4060"/>
      <c r="W261" s="4061"/>
      <c r="X261" s="2618"/>
      <c r="Y261" s="2123"/>
      <c r="Z261" s="2618"/>
      <c r="AA261" s="2123"/>
      <c r="AB261" s="2123"/>
      <c r="AC261" s="2342"/>
      <c r="AD261" s="2453"/>
      <c r="AE261" s="2364" t="s">
        <v>28</v>
      </c>
      <c r="AF261" s="2123"/>
      <c r="AG261" s="2342"/>
      <c r="AH261" s="2453"/>
      <c r="AI261" s="2364" t="s">
        <v>28</v>
      </c>
      <c r="AJ261" s="2123"/>
      <c r="AK261" s="4062"/>
      <c r="AL261" s="4063"/>
      <c r="AM261" s="4064" t="s">
        <v>614</v>
      </c>
      <c r="AN261" s="4065"/>
      <c r="AO261" s="4066"/>
      <c r="AP261" s="4067"/>
      <c r="AQ261" s="4068"/>
      <c r="AR261" s="4069"/>
      <c r="AS261" s="4070"/>
      <c r="AT261" s="1406"/>
      <c r="AU261" s="2270"/>
      <c r="AV261" s="1658"/>
      <c r="AW261" s="1640"/>
      <c r="AX261" s="1640"/>
      <c r="AY261" s="1640"/>
      <c r="AZ261" s="1640"/>
      <c r="BA261" s="1651">
        <v>0</v>
      </c>
    </row>
    <row s="1866" customFormat="1" customHeight="1" ht="11.25">
      <c r="A262" s="1379"/>
      <c r="B262" s="1379"/>
      <c r="C262" s="1379"/>
      <c r="D262" s="1379"/>
      <c r="E262" s="2275"/>
      <c r="F262" s="2275" t="s">
        <v>28</v>
      </c>
      <c r="G262" s="2275"/>
      <c r="H262" s="2275"/>
      <c r="I262" s="2302"/>
      <c r="J262" s="2302"/>
      <c r="K262" s="2272"/>
      <c r="L262" s="1385"/>
      <c r="M262" s="1792"/>
      <c r="N262" s="1792"/>
      <c r="O262" s="1792"/>
      <c r="P262" s="2390"/>
      <c r="Q262" s="2390"/>
      <c r="R262" s="2363"/>
      <c r="S262" s="2358"/>
      <c r="T262" s="2361"/>
      <c r="U262" s="316"/>
      <c r="V262" s="4071"/>
      <c r="W262" s="4072"/>
      <c r="X262" s="2618"/>
      <c r="Y262" s="2123"/>
      <c r="Z262" s="2618"/>
      <c r="AA262" s="2123"/>
      <c r="AB262" s="2123"/>
      <c r="AC262" s="2342"/>
      <c r="AD262" s="2453"/>
      <c r="AE262" s="2364" t="s">
        <v>28</v>
      </c>
      <c r="AF262" s="2123"/>
      <c r="AG262" s="4073"/>
      <c r="AH262" s="4074"/>
      <c r="AI262" s="4075" t="s">
        <v>615</v>
      </c>
      <c r="AJ262" s="4076"/>
      <c r="AK262" s="4077"/>
      <c r="AL262" s="4078"/>
      <c r="AM262" s="4079"/>
      <c r="AN262" s="4080"/>
      <c r="AO262" s="4081"/>
      <c r="AP262" s="4082"/>
      <c r="AQ262" s="4083"/>
      <c r="AR262" s="4084"/>
      <c r="AS262" s="4085"/>
      <c r="AT262" s="1406"/>
      <c r="AU262" s="2270"/>
      <c r="AV262" s="1658"/>
      <c r="AW262" s="1640"/>
      <c r="AX262" s="1640"/>
      <c r="AY262" s="1640"/>
      <c r="AZ262" s="1640"/>
      <c r="BA262" s="1651">
        <v>0</v>
      </c>
    </row>
    <row s="1866" customFormat="1" customHeight="1" ht="11.25">
      <c r="A263" s="1379"/>
      <c r="B263" s="1379"/>
      <c r="C263" s="1379"/>
      <c r="D263" s="1379"/>
      <c r="E263" s="2275"/>
      <c r="F263" s="2275" t="s">
        <v>28</v>
      </c>
      <c r="G263" s="2275"/>
      <c r="H263" s="2275"/>
      <c r="I263" s="2302"/>
      <c r="J263" s="2302"/>
      <c r="K263" s="2272"/>
      <c r="L263" s="1385"/>
      <c r="M263" s="1792"/>
      <c r="N263" s="1792"/>
      <c r="O263" s="1792"/>
      <c r="P263" s="2390"/>
      <c r="Q263" s="2390"/>
      <c r="R263" s="2363"/>
      <c r="S263" s="2359"/>
      <c r="T263" s="2362"/>
      <c r="U263" s="316"/>
      <c r="V263" s="4086"/>
      <c r="W263" s="4087" t="str">
        <f>X260&amp;"-"&amp;Z260</f>
        <v>-</v>
      </c>
      <c r="X263" s="2325"/>
      <c r="Y263" s="2123"/>
      <c r="Z263" s="2325"/>
      <c r="AA263" s="2123"/>
      <c r="AB263" s="2123"/>
      <c r="AC263" s="4088"/>
      <c r="AD263" s="4089"/>
      <c r="AE263" s="4090" t="s">
        <v>616</v>
      </c>
      <c r="AF263" s="4091"/>
      <c r="AG263" s="4092"/>
      <c r="AH263" s="4093"/>
      <c r="AI263" s="4094"/>
      <c r="AJ263" s="4095"/>
      <c r="AK263" s="4096"/>
      <c r="AL263" s="4097"/>
      <c r="AM263" s="4098"/>
      <c r="AN263" s="4099"/>
      <c r="AO263" s="4100" t="str">
        <f>AP260&amp;"-"&amp;AR260</f>
        <v>45909-46022</v>
      </c>
      <c r="AP263" s="4101"/>
      <c r="AQ263" s="4102"/>
      <c r="AR263" s="4103"/>
      <c r="AS263" s="4104"/>
      <c r="AT263" s="1365"/>
      <c r="AU263" s="2270"/>
      <c r="AV263" s="1658"/>
      <c r="AW263" s="1640"/>
      <c r="AX263" s="1640" t="str">
        <f>IF(T263="","",T263)</f>
        <v/>
      </c>
      <c r="AY263" s="1640"/>
      <c r="AZ263" s="1640"/>
      <c r="BA263" s="1651">
        <v>0</v>
      </c>
    </row>
    <row s="1866" customFormat="1" customHeight="1" ht="11.25">
      <c r="A264" s="1379"/>
      <c r="B264" s="1379"/>
      <c r="C264" s="1379"/>
      <c r="D264" s="1379"/>
      <c r="E264" s="2275"/>
      <c r="F264" s="2275" t="s">
        <v>28</v>
      </c>
      <c r="G264" s="2275"/>
      <c r="H264" s="2275"/>
      <c r="I264" s="2302"/>
      <c r="J264" s="2272"/>
      <c r="K264" s="1379"/>
      <c r="L264" s="1385"/>
      <c r="M264" s="1792"/>
      <c r="N264" s="1792"/>
      <c r="O264" s="1792"/>
      <c r="P264" s="2390"/>
      <c r="Q264" s="2390"/>
      <c r="R264" s="372"/>
      <c r="S264" s="4105"/>
      <c r="T264" s="4106" t="s">
        <v>617</v>
      </c>
      <c r="U264" s="4107"/>
      <c r="V264" s="4108"/>
      <c r="W264" s="4109"/>
      <c r="X264" s="4110"/>
      <c r="Y264" s="4111"/>
      <c r="Z264" s="4112"/>
      <c r="AA264" s="4113"/>
      <c r="AB264" s="4114"/>
      <c r="AC264" s="4115"/>
      <c r="AD264" s="4116"/>
      <c r="AE264" s="4117"/>
      <c r="AF264" s="4118"/>
      <c r="AG264" s="4119"/>
      <c r="AH264" s="4120"/>
      <c r="AI264" s="4121"/>
      <c r="AJ264" s="4122"/>
      <c r="AK264" s="4123"/>
      <c r="AL264" s="4124"/>
      <c r="AM264" s="4125"/>
      <c r="AN264" s="4126"/>
      <c r="AO264" s="4127"/>
      <c r="AP264" s="4128"/>
      <c r="AQ264" s="4129"/>
      <c r="AR264" s="4130"/>
      <c r="AS264" s="4131"/>
      <c r="AT264" s="4132"/>
      <c r="AU264" s="2271"/>
      <c r="AV264" s="1658"/>
      <c r="AW264" s="1640"/>
      <c r="AX264" s="1640" t="str">
        <f>IF(T264="","",T264)</f>
        <v>Добавить строку</v>
      </c>
      <c r="AY264" s="1640"/>
      <c r="AZ264" s="1640"/>
      <c r="BA264" s="1651">
        <v>0</v>
      </c>
    </row>
    <row s="638" customFormat="1" customHeight="1" ht="0.75">
      <c r="A265" s="1359"/>
      <c r="B265" s="1359"/>
      <c r="C265" s="1359"/>
      <c r="D265" s="1359"/>
      <c r="E265" s="2275"/>
      <c r="F265" s="2275" t="s">
        <v>28</v>
      </c>
      <c r="G265" s="2275"/>
      <c r="H265" s="2275"/>
      <c r="I265" s="2272"/>
      <c r="J265" s="1359"/>
      <c r="K265" s="1359"/>
      <c r="L265" s="1561"/>
      <c r="M265" s="526"/>
      <c r="N265" s="526"/>
      <c r="O265" s="526"/>
      <c r="P265" s="2390"/>
      <c r="Q265" s="2390"/>
      <c r="R265" s="372"/>
      <c r="S265" s="1402"/>
      <c r="T265" s="1403"/>
      <c r="U265" s="1404"/>
      <c r="V265" s="1404"/>
      <c r="W265" s="1404"/>
      <c r="X265" s="1404"/>
      <c r="Y265" s="1404"/>
      <c r="Z265" s="1404"/>
      <c r="AA265" s="1404"/>
      <c r="AB265" s="1404"/>
      <c r="AC265" s="1404"/>
      <c r="AD265" s="1404"/>
      <c r="AE265" s="1404"/>
      <c r="AF265" s="1404"/>
      <c r="AG265" s="1404"/>
      <c r="AH265" s="1404"/>
      <c r="AI265" s="1404"/>
      <c r="AJ265" s="1404"/>
      <c r="AK265" s="1404"/>
      <c r="AL265" s="1404"/>
      <c r="AM265" s="1404"/>
      <c r="AN265" s="1404"/>
      <c r="AO265" s="1404"/>
      <c r="AP265" s="1404"/>
      <c r="AQ265" s="1404"/>
      <c r="AR265" s="1404"/>
      <c r="AS265" s="1404"/>
      <c r="AT265" s="1404"/>
      <c r="AU265" s="1405"/>
      <c r="AV265" s="1658"/>
      <c r="AW265" s="1640"/>
      <c r="AX265" s="1640" t="str">
        <f>IF(T265="","",T265)</f>
        <v/>
      </c>
      <c r="AY265" s="1640"/>
      <c r="AZ265" s="1640"/>
      <c r="BA265" s="1658">
        <v>0</v>
      </c>
    </row>
    <row s="638" customFormat="1" customHeight="1" ht="0.75">
      <c r="A266" s="1359"/>
      <c r="B266" s="1359"/>
      <c r="C266" s="1359"/>
      <c r="D266" s="1359"/>
      <c r="E266" s="2275"/>
      <c r="F266" s="2275" t="s">
        <v>28</v>
      </c>
      <c r="G266" s="2275"/>
      <c r="H266" s="2274"/>
      <c r="I266" s="1359"/>
      <c r="J266" s="1359"/>
      <c r="K266" s="1359"/>
      <c r="L266" s="1561"/>
      <c r="M266" s="1331"/>
      <c r="N266" s="1331"/>
      <c r="O266" s="1658"/>
      <c r="P266" s="1332"/>
      <c r="Q266" s="1360"/>
      <c r="R266" s="1417"/>
      <c r="S266" s="1402"/>
      <c r="T266" s="1403"/>
      <c r="U266" s="1404"/>
      <c r="V266" s="1404"/>
      <c r="W266" s="1404"/>
      <c r="X266" s="1404"/>
      <c r="Y266" s="1404"/>
      <c r="Z266" s="1404"/>
      <c r="AA266" s="1404"/>
      <c r="AB266" s="1404"/>
      <c r="AC266" s="1404"/>
      <c r="AD266" s="1404"/>
      <c r="AE266" s="1404"/>
      <c r="AF266" s="1404"/>
      <c r="AG266" s="1404"/>
      <c r="AH266" s="1404"/>
      <c r="AI266" s="1404"/>
      <c r="AJ266" s="1404"/>
      <c r="AK266" s="1404"/>
      <c r="AL266" s="1404"/>
      <c r="AM266" s="1404"/>
      <c r="AN266" s="1404"/>
      <c r="AO266" s="1404"/>
      <c r="AP266" s="1404"/>
      <c r="AQ266" s="1404"/>
      <c r="AR266" s="1404"/>
      <c r="AS266" s="1404"/>
      <c r="AT266" s="1404"/>
      <c r="AU266" s="1405"/>
      <c r="AV266" s="1658"/>
      <c r="AW266" s="1640"/>
      <c r="AX266" s="1640" t="str">
        <f>IF(T266="","",T266)</f>
        <v/>
      </c>
      <c r="AY266" s="1640"/>
      <c r="AZ266" s="1640"/>
      <c r="BA266" s="1658">
        <v>0</v>
      </c>
    </row>
    <row s="638" customFormat="1" customHeight="1" ht="0.75">
      <c r="A267" s="1359"/>
      <c r="B267" s="1359"/>
      <c r="C267" s="1359"/>
      <c r="D267" s="1359"/>
      <c r="E267" s="2275"/>
      <c r="F267" s="2275" t="s">
        <v>28</v>
      </c>
      <c r="G267" s="2274"/>
      <c r="H267" s="1359"/>
      <c r="I267" s="1359"/>
      <c r="J267" s="1359"/>
      <c r="K267" s="1359"/>
      <c r="L267" s="1561"/>
      <c r="M267" s="1331"/>
      <c r="N267" s="1331"/>
      <c r="O267" s="1658"/>
      <c r="P267" s="1332"/>
      <c r="Q267" s="1360"/>
      <c r="R267" s="1332"/>
      <c r="S267" s="1338"/>
      <c r="T267" s="1341" t="s">
        <v>268</v>
      </c>
      <c r="U267" s="1340"/>
      <c r="V267" s="1340"/>
      <c r="W267" s="1340"/>
      <c r="X267" s="1340"/>
      <c r="Y267" s="1340"/>
      <c r="Z267" s="1340"/>
      <c r="AA267" s="1340"/>
      <c r="AB267" s="1340"/>
      <c r="AC267" s="1340"/>
      <c r="AD267" s="1340"/>
      <c r="AE267" s="1340"/>
      <c r="AF267" s="1340"/>
      <c r="AG267" s="1340"/>
      <c r="AH267" s="1340"/>
      <c r="AI267" s="1340"/>
      <c r="AJ267" s="1340"/>
      <c r="AK267" s="1340"/>
      <c r="AL267" s="1340"/>
      <c r="AM267" s="1340"/>
      <c r="AN267" s="1340"/>
      <c r="AO267" s="1340"/>
      <c r="AP267" s="1340"/>
      <c r="AQ267" s="1340"/>
      <c r="AR267" s="1340"/>
      <c r="AS267" s="1340"/>
      <c r="AT267" s="1340"/>
      <c r="AU267" s="1340"/>
      <c r="AV267" s="1658"/>
      <c r="AW267" s="1640"/>
      <c r="AX267" s="1640" t="str">
        <f>IF(T267="","",T267)</f>
        <v>Добавить источник для дифференциации</v>
      </c>
      <c r="AY267" s="1640"/>
      <c r="AZ267" s="1640"/>
      <c r="BA267" s="1658">
        <v>0</v>
      </c>
    </row>
    <row s="638" customFormat="1" customHeight="1" ht="0.75">
      <c r="A268" s="1359"/>
      <c r="B268" s="1359"/>
      <c r="C268" s="1359"/>
      <c r="D268" s="1359"/>
      <c r="E268" s="2275"/>
      <c r="F268" s="2274" t="s">
        <v>28</v>
      </c>
      <c r="G268" s="1359"/>
      <c r="H268" s="1359"/>
      <c r="I268" s="1359"/>
      <c r="J268" s="1359"/>
      <c r="K268" s="1359"/>
      <c r="L268" s="1561"/>
      <c r="M268" s="1337"/>
      <c r="N268" s="1337"/>
      <c r="O268" s="1658"/>
      <c r="P268" s="1332"/>
      <c r="Q268" s="1360"/>
      <c r="R268" s="1332"/>
      <c r="S268" s="1338"/>
      <c r="T268" s="1341" t="s">
        <v>269</v>
      </c>
      <c r="U268" s="1340"/>
      <c r="V268" s="1340"/>
      <c r="W268" s="1340"/>
      <c r="X268" s="1340"/>
      <c r="Y268" s="1340"/>
      <c r="Z268" s="1340"/>
      <c r="AA268" s="1340"/>
      <c r="AB268" s="1340"/>
      <c r="AC268" s="1340"/>
      <c r="AD268" s="1340"/>
      <c r="AE268" s="1340"/>
      <c r="AF268" s="1340"/>
      <c r="AG268" s="1340"/>
      <c r="AH268" s="1340"/>
      <c r="AI268" s="1340"/>
      <c r="AJ268" s="1340"/>
      <c r="AK268" s="1340"/>
      <c r="AL268" s="1340"/>
      <c r="AM268" s="1340"/>
      <c r="AN268" s="1340"/>
      <c r="AO268" s="1340"/>
      <c r="AP268" s="1340"/>
      <c r="AQ268" s="1340"/>
      <c r="AR268" s="1340"/>
      <c r="AS268" s="1340"/>
      <c r="AT268" s="1340"/>
      <c r="AU268" s="1340"/>
      <c r="AV268" s="1658"/>
      <c r="AW268" s="1640"/>
      <c r="AX268" s="1640" t="str">
        <f>IF(T268="","",T268)</f>
        <v>Добавить централизованную систему для дифференциации</v>
      </c>
      <c r="AY268" s="1640"/>
      <c r="AZ268" s="1640"/>
      <c r="BA268" s="1658">
        <v>0</v>
      </c>
    </row>
    <row s="1866" customFormat="1" customHeight="1" ht="21">
      <c r="A269" s="1379"/>
      <c r="B269" s="1379" t="s">
        <v>327</v>
      </c>
      <c r="C269" s="1379"/>
      <c r="D269" s="1379"/>
      <c r="E269" s="2275"/>
      <c r="F269" s="2274" t="s">
        <v>28</v>
      </c>
      <c r="G269" s="1379"/>
      <c r="H269" s="1379"/>
      <c r="I269" s="1379"/>
      <c r="J269" s="1379"/>
      <c r="K269" s="1379"/>
      <c r="L269" s="1385"/>
      <c r="M269" s="1381"/>
      <c r="N269" s="1381"/>
      <c r="O269" s="1381"/>
      <c r="P269" s="2623"/>
      <c r="Q269" s="1427"/>
      <c r="R269" s="369"/>
      <c r="S269" s="2289" t="str">
        <f>INDEX(PT_DIFFERENTIATION_NUM_TER,MATCH(B269,PT_DIFFERENTIATION_TER_ID,0))</f>
        <v>1.16</v>
      </c>
      <c r="T269" s="1538" t="s">
        <v>550</v>
      </c>
      <c r="U269" s="316"/>
      <c r="V269" s="2259"/>
      <c r="W269" s="2259"/>
      <c r="X269" s="2259"/>
      <c r="Y269" s="2259"/>
      <c r="Z269" s="2259"/>
      <c r="AA269" s="2260"/>
      <c r="AB269" s="2258" t="str">
        <f>INDEX(PT_DIFFERENTIATION_TER,MATCH(B269,PT_DIFFERENTIATION_TER_ID,0))</f>
        <v>Территория 16</v>
      </c>
      <c r="AC269" s="2259"/>
      <c r="AD269" s="2259"/>
      <c r="AE269" s="2259"/>
      <c r="AF269" s="2259"/>
      <c r="AG269" s="2259"/>
      <c r="AH269" s="2259"/>
      <c r="AI269" s="2259"/>
      <c r="AJ269" s="2259"/>
      <c r="AK269" s="2259"/>
      <c r="AL269" s="2259"/>
      <c r="AM269" s="2259"/>
      <c r="AN269" s="2259"/>
      <c r="AO269" s="2259"/>
      <c r="AP269" s="2259"/>
      <c r="AQ269" s="2259"/>
      <c r="AR269" s="2259"/>
      <c r="AS269" s="2259"/>
      <c r="AT269" s="2260"/>
      <c r="AU269" s="1274" t="s">
        <v>551</v>
      </c>
      <c r="AV269" s="1658"/>
      <c r="AW269" s="1640"/>
      <c r="AX269" s="1640" t="str">
        <f>IF(T269="","",T269)</f>
        <v>Территория действия тарифа</v>
      </c>
      <c r="AY269" s="1640"/>
      <c r="AZ269" s="1640"/>
      <c r="BA269" s="1651">
        <v>0</v>
      </c>
    </row>
    <row s="1866" customFormat="1" customHeight="1" ht="22.5">
      <c r="A270" s="1379"/>
      <c r="B270" s="1379"/>
      <c r="C270" s="1379" t="s">
        <v>328</v>
      </c>
      <c r="D270" s="1379"/>
      <c r="E270" s="2275"/>
      <c r="F270" s="2275" t="s">
        <v>28</v>
      </c>
      <c r="G270" s="2274">
        <v>1</v>
      </c>
      <c r="H270" s="1379"/>
      <c r="I270" s="1379"/>
      <c r="J270" s="1379"/>
      <c r="K270" s="1379"/>
      <c r="L270" s="1385"/>
      <c r="M270" s="1381"/>
      <c r="N270" s="1381"/>
      <c r="O270" s="1381"/>
      <c r="P270" s="1428"/>
      <c r="Q270" s="1427"/>
      <c r="R270" s="369"/>
      <c r="S270" s="2289" t="str">
        <f>INDEX(PT_DIFFERENTIATION_NUM_CS,MATCH(C270,PT_DIFFERENTIATION_CS_ID,0))</f>
        <v>1.16.1</v>
      </c>
      <c r="T270" s="325" t="s">
        <v>552</v>
      </c>
      <c r="U270" s="316"/>
      <c r="V270" s="2259"/>
      <c r="W270" s="2259"/>
      <c r="X270" s="2259"/>
      <c r="Y270" s="2259"/>
      <c r="Z270" s="2259"/>
      <c r="AA270" s="2260"/>
      <c r="AB270" s="2258" t="str">
        <f>INDEX(PT_DIFFERENTIATION_CS,MATCH(C270,PT_DIFFERENTIATION_CS_ID,0))</f>
        <v>с. Новопокровка, Красноармейского муниципального округа</v>
      </c>
      <c r="AC270" s="2259"/>
      <c r="AD270" s="2259"/>
      <c r="AE270" s="2259"/>
      <c r="AF270" s="2259"/>
      <c r="AG270" s="2259"/>
      <c r="AH270" s="2259"/>
      <c r="AI270" s="2259"/>
      <c r="AJ270" s="2259"/>
      <c r="AK270" s="2259"/>
      <c r="AL270" s="2259"/>
      <c r="AM270" s="2259"/>
      <c r="AN270" s="2259"/>
      <c r="AO270" s="2259"/>
      <c r="AP270" s="2259"/>
      <c r="AQ270" s="2259"/>
      <c r="AR270" s="2259"/>
      <c r="AS270" s="2259"/>
      <c r="AT270" s="2260"/>
      <c r="AU270" s="1274" t="s">
        <v>553</v>
      </c>
      <c r="AV270" s="1658"/>
      <c r="AW270" s="1640"/>
      <c r="AX270" s="1640" t="str">
        <f>IF(T270="","",T270)</f>
        <v>Наименование системы теплоснабжения </v>
      </c>
      <c r="AY270" s="1640"/>
      <c r="AZ270" s="1640"/>
      <c r="BA270" s="1651">
        <v>0</v>
      </c>
    </row>
    <row s="1866" customFormat="1" customHeight="1" ht="21">
      <c r="A271" s="1379"/>
      <c r="B271" s="1379"/>
      <c r="C271" s="1379"/>
      <c r="D271" s="1379" t="s">
        <v>329</v>
      </c>
      <c r="E271" s="2275"/>
      <c r="F271" s="2275" t="s">
        <v>28</v>
      </c>
      <c r="G271" s="2275"/>
      <c r="H271" s="2274">
        <v>1</v>
      </c>
      <c r="I271" s="1379"/>
      <c r="J271" s="1379"/>
      <c r="K271" s="1379"/>
      <c r="L271" s="1385"/>
      <c r="M271" s="1381"/>
      <c r="N271" s="1381"/>
      <c r="O271" s="1381"/>
      <c r="P271" s="1428"/>
      <c r="Q271" s="1427"/>
      <c r="R271" s="369"/>
      <c r="S271" s="2289" t="str">
        <f>INDEX(PT_DIFFERENTIATION_NUM_IST_TE,MATCH(D271,PT_DIFFERENTIATION_IST_TE_ID,0))</f>
        <v>1.16.1.1</v>
      </c>
      <c r="T271" s="326" t="s">
        <v>554</v>
      </c>
      <c r="U271" s="316"/>
      <c r="V271" s="2259"/>
      <c r="W271" s="2259"/>
      <c r="X271" s="2259"/>
      <c r="Y271" s="2259"/>
      <c r="Z271" s="2259"/>
      <c r="AA271" s="2260"/>
      <c r="AB271" s="2258" t="str">
        <f>INDEX(PT_DIFFERENTIATION_IST_TE,MATCH(D271,PT_DIFFERENTIATION_IST_TE_ID,0))</f>
        <v>без дифференциации</v>
      </c>
      <c r="AC271" s="2259"/>
      <c r="AD271" s="2259"/>
      <c r="AE271" s="2259"/>
      <c r="AF271" s="2259"/>
      <c r="AG271" s="2259"/>
      <c r="AH271" s="2259"/>
      <c r="AI271" s="2259"/>
      <c r="AJ271" s="2259"/>
      <c r="AK271" s="2259"/>
      <c r="AL271" s="2259"/>
      <c r="AM271" s="2259"/>
      <c r="AN271" s="2259"/>
      <c r="AO271" s="2259"/>
      <c r="AP271" s="2259"/>
      <c r="AQ271" s="2259"/>
      <c r="AR271" s="2259"/>
      <c r="AS271" s="2259"/>
      <c r="AT271" s="2260"/>
      <c r="AU271" s="1274" t="s">
        <v>555</v>
      </c>
      <c r="AV271" s="1658"/>
      <c r="AW271" s="1640"/>
      <c r="AX271" s="1640" t="str">
        <f>IF(T271="","",T271)</f>
        <v>Источник тепловой энергии  </v>
      </c>
      <c r="AY271" s="1640"/>
      <c r="AZ271" s="1640"/>
      <c r="BA271" s="1651">
        <v>0</v>
      </c>
    </row>
    <row s="638" customFormat="1" customHeight="1" ht="0.75">
      <c r="A272" s="1359"/>
      <c r="B272" s="1359"/>
      <c r="C272" s="1359"/>
      <c r="D272" s="1359"/>
      <c r="E272" s="2275"/>
      <c r="F272" s="2275" t="s">
        <v>28</v>
      </c>
      <c r="G272" s="2275"/>
      <c r="H272" s="2275"/>
      <c r="I272" s="2272" t="str">
        <f>S271&amp;".1"</f>
        <v>1.16.1.1.1</v>
      </c>
      <c r="J272" s="1359"/>
      <c r="K272" s="1359"/>
      <c r="L272" s="1561" t="s">
        <v>556</v>
      </c>
      <c r="M272" s="526"/>
      <c r="N272" s="526"/>
      <c r="O272" s="526"/>
      <c r="P272" s="2390">
        <v>1</v>
      </c>
      <c r="Q272" s="2390"/>
      <c r="R272" s="372"/>
      <c r="S272" s="2320"/>
      <c r="T272" s="1399"/>
      <c r="U272" s="1400"/>
      <c r="V272" s="2313"/>
      <c r="W272" s="2313"/>
      <c r="X272" s="2313"/>
      <c r="Y272" s="2313"/>
      <c r="Z272" s="2313"/>
      <c r="AA272" s="2314"/>
      <c r="AB272" s="2312"/>
      <c r="AC272" s="2313"/>
      <c r="AD272" s="2313"/>
      <c r="AE272" s="2313"/>
      <c r="AF272" s="2313"/>
      <c r="AG272" s="2313"/>
      <c r="AH272" s="2313"/>
      <c r="AI272" s="2313"/>
      <c r="AJ272" s="2313"/>
      <c r="AK272" s="2313"/>
      <c r="AL272" s="2313"/>
      <c r="AM272" s="2313"/>
      <c r="AN272" s="2313"/>
      <c r="AO272" s="2313"/>
      <c r="AP272" s="2313"/>
      <c r="AQ272" s="2313"/>
      <c r="AR272" s="2313"/>
      <c r="AS272" s="2313"/>
      <c r="AT272" s="2314"/>
      <c r="AU272" s="1401"/>
      <c r="AV272" s="1658"/>
      <c r="AW272" s="1640"/>
      <c r="AX272" s="1640" t="str">
        <f>IF(T272="","",T272)</f>
        <v/>
      </c>
      <c r="AY272" s="1640"/>
      <c r="AZ272" s="1640"/>
      <c r="BA272" s="1658">
        <v>0</v>
      </c>
    </row>
    <row s="638" customFormat="1" customHeight="1" ht="0.75">
      <c r="A273" s="1359"/>
      <c r="B273" s="1359"/>
      <c r="C273" s="1359"/>
      <c r="D273" s="1359"/>
      <c r="E273" s="2275"/>
      <c r="F273" s="2275" t="s">
        <v>28</v>
      </c>
      <c r="G273" s="2275"/>
      <c r="H273" s="2275"/>
      <c r="I273" s="2302"/>
      <c r="J273" s="2272" t="str">
        <f>S271&amp;".1"</f>
        <v>1.16.1.1.1</v>
      </c>
      <c r="K273" s="1359"/>
      <c r="L273" s="1561"/>
      <c r="M273" s="526"/>
      <c r="N273" s="526"/>
      <c r="O273" s="526"/>
      <c r="P273" s="2390"/>
      <c r="Q273" s="2390">
        <v>1</v>
      </c>
      <c r="R273" s="373"/>
      <c r="S273" s="2320"/>
      <c r="T273" s="1415"/>
      <c r="U273" s="1400"/>
      <c r="V273" s="2313"/>
      <c r="W273" s="2313"/>
      <c r="X273" s="2313"/>
      <c r="Y273" s="2313"/>
      <c r="Z273" s="2313"/>
      <c r="AA273" s="2314"/>
      <c r="AB273" s="2312"/>
      <c r="AC273" s="2313"/>
      <c r="AD273" s="2313"/>
      <c r="AE273" s="2313"/>
      <c r="AF273" s="2313"/>
      <c r="AG273" s="2313"/>
      <c r="AH273" s="2313"/>
      <c r="AI273" s="2313"/>
      <c r="AJ273" s="2313"/>
      <c r="AK273" s="2313"/>
      <c r="AL273" s="2313"/>
      <c r="AM273" s="2313"/>
      <c r="AN273" s="2313"/>
      <c r="AO273" s="2313"/>
      <c r="AP273" s="2313"/>
      <c r="AQ273" s="2313"/>
      <c r="AR273" s="2313"/>
      <c r="AS273" s="2313"/>
      <c r="AT273" s="2314"/>
      <c r="AU273" s="1401"/>
      <c r="AV273" s="1658"/>
      <c r="AW273" s="1640"/>
      <c r="AX273" s="1640" t="str">
        <f>IF(T273="","",T273)</f>
        <v/>
      </c>
      <c r="AY273" s="1640"/>
      <c r="AZ273" s="1640"/>
      <c r="BA273" s="1658">
        <v>0</v>
      </c>
    </row>
    <row s="1866" customFormat="1" customHeight="1" ht="21">
      <c r="A274" s="1379"/>
      <c r="B274" s="1379"/>
      <c r="C274" s="1379"/>
      <c r="D274" s="1379"/>
      <c r="E274" s="2275"/>
      <c r="F274" s="2275" t="s">
        <v>28</v>
      </c>
      <c r="G274" s="2275"/>
      <c r="H274" s="2275"/>
      <c r="I274" s="2302"/>
      <c r="J274" s="2302"/>
      <c r="K274" s="2272" t="str">
        <f>S271&amp;".1"</f>
        <v>1.16.1.1.1</v>
      </c>
      <c r="L274" s="1385"/>
      <c r="M274" s="1792"/>
      <c r="N274" s="1792"/>
      <c r="O274" s="1792"/>
      <c r="P274" s="2390"/>
      <c r="Q274" s="2390"/>
      <c r="R274" s="2363">
        <v>1</v>
      </c>
      <c r="S274" s="2357" t="str">
        <f>$K274</f>
        <v>1.16.1.1.1</v>
      </c>
      <c r="T274" s="2360" t="s">
        <v>630</v>
      </c>
      <c r="U274" s="316"/>
      <c r="V274" s="767"/>
      <c r="W274" s="1273"/>
      <c r="X274" s="2618"/>
      <c r="Y274" s="2123" t="s">
        <v>64</v>
      </c>
      <c r="Z274" s="2618"/>
      <c r="AA274" s="2123" t="s">
        <v>64</v>
      </c>
      <c r="AB274" s="2123" t="s">
        <v>19</v>
      </c>
      <c r="AC274" s="2342"/>
      <c r="AD274" s="2453">
        <v>1</v>
      </c>
      <c r="AE274" s="2364" t="s">
        <v>28</v>
      </c>
      <c r="AF274" s="2123" t="s">
        <v>19</v>
      </c>
      <c r="AG274" s="2342"/>
      <c r="AH274" s="2453">
        <v>1</v>
      </c>
      <c r="AI274" s="2364" t="s">
        <v>28</v>
      </c>
      <c r="AJ274" s="2123" t="s">
        <v>19</v>
      </c>
      <c r="AK274" s="327"/>
      <c r="AL274" s="2453">
        <v>1</v>
      </c>
      <c r="AM274" s="1540" t="s">
        <v>28</v>
      </c>
      <c r="AN274" s="767"/>
      <c r="AO274" s="1273">
        <v>15.674</v>
      </c>
      <c r="AP274" s="2618">
        <v>45909</v>
      </c>
      <c r="AQ274" s="2123" t="s">
        <v>64</v>
      </c>
      <c r="AR274" s="2618">
        <v>46022</v>
      </c>
      <c r="AS274" s="2123" t="s">
        <v>64</v>
      </c>
      <c r="AT274" s="1364"/>
      <c r="AU274" s="2269" t="s">
        <v>613</v>
      </c>
      <c r="AV274" s="1658">
        <f>STRCHECKDATE(V277:AT277)</f>
      </c>
      <c r="AW274" s="1640"/>
      <c r="AX274" s="1640" t="str">
        <f>IF(T274="","",T274)</f>
        <v>Котельная</v>
      </c>
      <c r="AY274" s="1640"/>
      <c r="AZ274" s="1640"/>
      <c r="BA274" s="1651">
        <v>0</v>
      </c>
    </row>
    <row s="1866" customFormat="1" customHeight="1" ht="11.25">
      <c r="A275" s="1379"/>
      <c r="B275" s="1379"/>
      <c r="C275" s="1379"/>
      <c r="D275" s="1379"/>
      <c r="E275" s="2275"/>
      <c r="F275" s="2275" t="s">
        <v>28</v>
      </c>
      <c r="G275" s="2275"/>
      <c r="H275" s="2275"/>
      <c r="I275" s="2302"/>
      <c r="J275" s="2302"/>
      <c r="K275" s="2272"/>
      <c r="L275" s="1385"/>
      <c r="M275" s="1792"/>
      <c r="N275" s="1792"/>
      <c r="O275" s="1792"/>
      <c r="P275" s="2390"/>
      <c r="Q275" s="2390"/>
      <c r="R275" s="2363"/>
      <c r="S275" s="2358"/>
      <c r="T275" s="2361"/>
      <c r="U275" s="316"/>
      <c r="V275" s="4133"/>
      <c r="W275" s="4134"/>
      <c r="X275" s="2618"/>
      <c r="Y275" s="2123"/>
      <c r="Z275" s="2618"/>
      <c r="AA275" s="2123"/>
      <c r="AB275" s="2123"/>
      <c r="AC275" s="2342"/>
      <c r="AD275" s="2453"/>
      <c r="AE275" s="2364" t="s">
        <v>28</v>
      </c>
      <c r="AF275" s="2123"/>
      <c r="AG275" s="2342"/>
      <c r="AH275" s="2453"/>
      <c r="AI275" s="2364" t="s">
        <v>28</v>
      </c>
      <c r="AJ275" s="2123"/>
      <c r="AK275" s="4135"/>
      <c r="AL275" s="4136"/>
      <c r="AM275" s="4137" t="s">
        <v>614</v>
      </c>
      <c r="AN275" s="4138"/>
      <c r="AO275" s="4139"/>
      <c r="AP275" s="4140"/>
      <c r="AQ275" s="4141"/>
      <c r="AR275" s="4142"/>
      <c r="AS275" s="4143"/>
      <c r="AT275" s="1406"/>
      <c r="AU275" s="2270"/>
      <c r="AV275" s="1658"/>
      <c r="AW275" s="1640"/>
      <c r="AX275" s="1640"/>
      <c r="AY275" s="1640"/>
      <c r="AZ275" s="1640"/>
      <c r="BA275" s="1651">
        <v>0</v>
      </c>
    </row>
    <row s="1866" customFormat="1" customHeight="1" ht="11.25">
      <c r="A276" s="1379"/>
      <c r="B276" s="1379"/>
      <c r="C276" s="1379"/>
      <c r="D276" s="1379"/>
      <c r="E276" s="2275"/>
      <c r="F276" s="2275" t="s">
        <v>28</v>
      </c>
      <c r="G276" s="2275"/>
      <c r="H276" s="2275"/>
      <c r="I276" s="2302"/>
      <c r="J276" s="2302"/>
      <c r="K276" s="2272"/>
      <c r="L276" s="1385"/>
      <c r="M276" s="1792"/>
      <c r="N276" s="1792"/>
      <c r="O276" s="1792"/>
      <c r="P276" s="2390"/>
      <c r="Q276" s="2390"/>
      <c r="R276" s="2363"/>
      <c r="S276" s="2358"/>
      <c r="T276" s="2361"/>
      <c r="U276" s="316"/>
      <c r="V276" s="4144"/>
      <c r="W276" s="4145"/>
      <c r="X276" s="2618"/>
      <c r="Y276" s="2123"/>
      <c r="Z276" s="2618"/>
      <c r="AA276" s="2123"/>
      <c r="AB276" s="2123"/>
      <c r="AC276" s="2342"/>
      <c r="AD276" s="2453"/>
      <c r="AE276" s="2364" t="s">
        <v>28</v>
      </c>
      <c r="AF276" s="2123"/>
      <c r="AG276" s="4146"/>
      <c r="AH276" s="4147"/>
      <c r="AI276" s="4148" t="s">
        <v>615</v>
      </c>
      <c r="AJ276" s="4149"/>
      <c r="AK276" s="4150"/>
      <c r="AL276" s="4151"/>
      <c r="AM276" s="4152"/>
      <c r="AN276" s="4153"/>
      <c r="AO276" s="4154"/>
      <c r="AP276" s="4155"/>
      <c r="AQ276" s="4156"/>
      <c r="AR276" s="4157"/>
      <c r="AS276" s="4158"/>
      <c r="AT276" s="1406"/>
      <c r="AU276" s="2270"/>
      <c r="AV276" s="1658"/>
      <c r="AW276" s="1640"/>
      <c r="AX276" s="1640"/>
      <c r="AY276" s="1640"/>
      <c r="AZ276" s="1640"/>
      <c r="BA276" s="1651">
        <v>0</v>
      </c>
    </row>
    <row s="1866" customFormat="1" customHeight="1" ht="11.25">
      <c r="A277" s="1379"/>
      <c r="B277" s="1379"/>
      <c r="C277" s="1379"/>
      <c r="D277" s="1379"/>
      <c r="E277" s="2275"/>
      <c r="F277" s="2275" t="s">
        <v>28</v>
      </c>
      <c r="G277" s="2275"/>
      <c r="H277" s="2275"/>
      <c r="I277" s="2302"/>
      <c r="J277" s="2302"/>
      <c r="K277" s="2272"/>
      <c r="L277" s="1385"/>
      <c r="M277" s="1792"/>
      <c r="N277" s="1792"/>
      <c r="O277" s="1792"/>
      <c r="P277" s="2390"/>
      <c r="Q277" s="2390"/>
      <c r="R277" s="2363"/>
      <c r="S277" s="2359"/>
      <c r="T277" s="2362"/>
      <c r="U277" s="316"/>
      <c r="V277" s="4159"/>
      <c r="W277" s="4160" t="str">
        <f>X274&amp;"-"&amp;Z274</f>
        <v>-</v>
      </c>
      <c r="X277" s="2325"/>
      <c r="Y277" s="2123"/>
      <c r="Z277" s="2325"/>
      <c r="AA277" s="2123"/>
      <c r="AB277" s="2123"/>
      <c r="AC277" s="4161"/>
      <c r="AD277" s="4162"/>
      <c r="AE277" s="4163" t="s">
        <v>616</v>
      </c>
      <c r="AF277" s="4164"/>
      <c r="AG277" s="4165"/>
      <c r="AH277" s="4166"/>
      <c r="AI277" s="4167"/>
      <c r="AJ277" s="4168"/>
      <c r="AK277" s="4169"/>
      <c r="AL277" s="4170"/>
      <c r="AM277" s="4171"/>
      <c r="AN277" s="4172"/>
      <c r="AO277" s="4173" t="str">
        <f>AP274&amp;"-"&amp;AR274</f>
        <v>45909-46022</v>
      </c>
      <c r="AP277" s="4174"/>
      <c r="AQ277" s="4175"/>
      <c r="AR277" s="4176"/>
      <c r="AS277" s="4177"/>
      <c r="AT277" s="1365"/>
      <c r="AU277" s="2270"/>
      <c r="AV277" s="1658"/>
      <c r="AW277" s="1640"/>
      <c r="AX277" s="1640" t="str">
        <f>IF(T277="","",T277)</f>
        <v/>
      </c>
      <c r="AY277" s="1640"/>
      <c r="AZ277" s="1640"/>
      <c r="BA277" s="1651">
        <v>0</v>
      </c>
    </row>
    <row s="1866" customFormat="1" customHeight="1" ht="11.25">
      <c r="A278" s="1379"/>
      <c r="B278" s="1379"/>
      <c r="C278" s="1379"/>
      <c r="D278" s="1379"/>
      <c r="E278" s="2275"/>
      <c r="F278" s="2275" t="s">
        <v>28</v>
      </c>
      <c r="G278" s="2275"/>
      <c r="H278" s="2275"/>
      <c r="I278" s="2302"/>
      <c r="J278" s="2272"/>
      <c r="K278" s="1379"/>
      <c r="L278" s="1385"/>
      <c r="M278" s="1792"/>
      <c r="N278" s="1792"/>
      <c r="O278" s="1792"/>
      <c r="P278" s="2390"/>
      <c r="Q278" s="2390"/>
      <c r="R278" s="372"/>
      <c r="S278" s="4178"/>
      <c r="T278" s="4179" t="s">
        <v>617</v>
      </c>
      <c r="U278" s="4180"/>
      <c r="V278" s="4181"/>
      <c r="W278" s="4182"/>
      <c r="X278" s="4183"/>
      <c r="Y278" s="4184"/>
      <c r="Z278" s="4185"/>
      <c r="AA278" s="4186"/>
      <c r="AB278" s="4187"/>
      <c r="AC278" s="4188"/>
      <c r="AD278" s="4189"/>
      <c r="AE278" s="4190"/>
      <c r="AF278" s="4191"/>
      <c r="AG278" s="4192"/>
      <c r="AH278" s="4193"/>
      <c r="AI278" s="4194"/>
      <c r="AJ278" s="4195"/>
      <c r="AK278" s="4196"/>
      <c r="AL278" s="4197"/>
      <c r="AM278" s="4198"/>
      <c r="AN278" s="4199"/>
      <c r="AO278" s="4200"/>
      <c r="AP278" s="4201"/>
      <c r="AQ278" s="4202"/>
      <c r="AR278" s="4203"/>
      <c r="AS278" s="4204"/>
      <c r="AT278" s="4205"/>
      <c r="AU278" s="2271"/>
      <c r="AV278" s="1658"/>
      <c r="AW278" s="1640"/>
      <c r="AX278" s="1640" t="str">
        <f>IF(T278="","",T278)</f>
        <v>Добавить строку</v>
      </c>
      <c r="AY278" s="1640"/>
      <c r="AZ278" s="1640"/>
      <c r="BA278" s="1651">
        <v>0</v>
      </c>
    </row>
    <row s="638" customFormat="1" customHeight="1" ht="0.75">
      <c r="A279" s="1359"/>
      <c r="B279" s="1359"/>
      <c r="C279" s="1359"/>
      <c r="D279" s="1359"/>
      <c r="E279" s="2275"/>
      <c r="F279" s="2275" t="s">
        <v>28</v>
      </c>
      <c r="G279" s="2275"/>
      <c r="H279" s="2275"/>
      <c r="I279" s="2272"/>
      <c r="J279" s="1359"/>
      <c r="K279" s="1359"/>
      <c r="L279" s="1561"/>
      <c r="M279" s="526"/>
      <c r="N279" s="526"/>
      <c r="O279" s="526"/>
      <c r="P279" s="2390"/>
      <c r="Q279" s="2390"/>
      <c r="R279" s="372"/>
      <c r="S279" s="1402"/>
      <c r="T279" s="1403"/>
      <c r="U279" s="1404"/>
      <c r="V279" s="1404"/>
      <c r="W279" s="1404"/>
      <c r="X279" s="1404"/>
      <c r="Y279" s="1404"/>
      <c r="Z279" s="1404"/>
      <c r="AA279" s="1404"/>
      <c r="AB279" s="1404"/>
      <c r="AC279" s="1404"/>
      <c r="AD279" s="1404"/>
      <c r="AE279" s="1404"/>
      <c r="AF279" s="1404"/>
      <c r="AG279" s="1404"/>
      <c r="AH279" s="1404"/>
      <c r="AI279" s="1404"/>
      <c r="AJ279" s="1404"/>
      <c r="AK279" s="1404"/>
      <c r="AL279" s="1404"/>
      <c r="AM279" s="1404"/>
      <c r="AN279" s="1404"/>
      <c r="AO279" s="1404"/>
      <c r="AP279" s="1404"/>
      <c r="AQ279" s="1404"/>
      <c r="AR279" s="1404"/>
      <c r="AS279" s="1404"/>
      <c r="AT279" s="1404"/>
      <c r="AU279" s="1405"/>
      <c r="AV279" s="1658"/>
      <c r="AW279" s="1640"/>
      <c r="AX279" s="1640" t="str">
        <f>IF(T279="","",T279)</f>
        <v/>
      </c>
      <c r="AY279" s="1640"/>
      <c r="AZ279" s="1640"/>
      <c r="BA279" s="1658">
        <v>0</v>
      </c>
    </row>
    <row s="638" customFormat="1" customHeight="1" ht="0.75">
      <c r="A280" s="1359"/>
      <c r="B280" s="1359"/>
      <c r="C280" s="1359"/>
      <c r="D280" s="1359"/>
      <c r="E280" s="2275"/>
      <c r="F280" s="2275" t="s">
        <v>28</v>
      </c>
      <c r="G280" s="2275"/>
      <c r="H280" s="2274"/>
      <c r="I280" s="1359"/>
      <c r="J280" s="1359"/>
      <c r="K280" s="1359"/>
      <c r="L280" s="1561"/>
      <c r="M280" s="1331"/>
      <c r="N280" s="1331"/>
      <c r="O280" s="1658"/>
      <c r="P280" s="1332"/>
      <c r="Q280" s="1360"/>
      <c r="R280" s="1417"/>
      <c r="S280" s="1402"/>
      <c r="T280" s="1403"/>
      <c r="U280" s="1404"/>
      <c r="V280" s="1404"/>
      <c r="W280" s="1404"/>
      <c r="X280" s="1404"/>
      <c r="Y280" s="1404"/>
      <c r="Z280" s="1404"/>
      <c r="AA280" s="1404"/>
      <c r="AB280" s="1404"/>
      <c r="AC280" s="1404"/>
      <c r="AD280" s="1404"/>
      <c r="AE280" s="1404"/>
      <c r="AF280" s="1404"/>
      <c r="AG280" s="1404"/>
      <c r="AH280" s="1404"/>
      <c r="AI280" s="1404"/>
      <c r="AJ280" s="1404"/>
      <c r="AK280" s="1404"/>
      <c r="AL280" s="1404"/>
      <c r="AM280" s="1404"/>
      <c r="AN280" s="1404"/>
      <c r="AO280" s="1404"/>
      <c r="AP280" s="1404"/>
      <c r="AQ280" s="1404"/>
      <c r="AR280" s="1404"/>
      <c r="AS280" s="1404"/>
      <c r="AT280" s="1404"/>
      <c r="AU280" s="1405"/>
      <c r="AV280" s="1658"/>
      <c r="AW280" s="1640"/>
      <c r="AX280" s="1640" t="str">
        <f>IF(T280="","",T280)</f>
        <v/>
      </c>
      <c r="AY280" s="1640"/>
      <c r="AZ280" s="1640"/>
      <c r="BA280" s="1658">
        <v>0</v>
      </c>
    </row>
    <row s="638" customFormat="1" customHeight="1" ht="0.75">
      <c r="A281" s="1359"/>
      <c r="B281" s="1359"/>
      <c r="C281" s="1359"/>
      <c r="D281" s="1359"/>
      <c r="E281" s="2275"/>
      <c r="F281" s="2275" t="s">
        <v>28</v>
      </c>
      <c r="G281" s="2274"/>
      <c r="H281" s="1359"/>
      <c r="I281" s="1359"/>
      <c r="J281" s="1359"/>
      <c r="K281" s="1359"/>
      <c r="L281" s="1561"/>
      <c r="M281" s="1331"/>
      <c r="N281" s="1331"/>
      <c r="O281" s="1658"/>
      <c r="P281" s="1332"/>
      <c r="Q281" s="1360"/>
      <c r="R281" s="1332"/>
      <c r="S281" s="1338"/>
      <c r="T281" s="1341" t="s">
        <v>268</v>
      </c>
      <c r="U281" s="1340"/>
      <c r="V281" s="1340"/>
      <c r="W281" s="1340"/>
      <c r="X281" s="1340"/>
      <c r="Y281" s="1340"/>
      <c r="Z281" s="1340"/>
      <c r="AA281" s="1340"/>
      <c r="AB281" s="1340"/>
      <c r="AC281" s="1340"/>
      <c r="AD281" s="1340"/>
      <c r="AE281" s="1340"/>
      <c r="AF281" s="1340"/>
      <c r="AG281" s="1340"/>
      <c r="AH281" s="1340"/>
      <c r="AI281" s="1340"/>
      <c r="AJ281" s="1340"/>
      <c r="AK281" s="1340"/>
      <c r="AL281" s="1340"/>
      <c r="AM281" s="1340"/>
      <c r="AN281" s="1340"/>
      <c r="AO281" s="1340"/>
      <c r="AP281" s="1340"/>
      <c r="AQ281" s="1340"/>
      <c r="AR281" s="1340"/>
      <c r="AS281" s="1340"/>
      <c r="AT281" s="1340"/>
      <c r="AU281" s="1340"/>
      <c r="AV281" s="1658"/>
      <c r="AW281" s="1640"/>
      <c r="AX281" s="1640" t="str">
        <f>IF(T281="","",T281)</f>
        <v>Добавить источник для дифференциации</v>
      </c>
      <c r="AY281" s="1640"/>
      <c r="AZ281" s="1640"/>
      <c r="BA281" s="1658">
        <v>0</v>
      </c>
    </row>
    <row s="638" customFormat="1" customHeight="1" ht="0.75">
      <c r="A282" s="1359"/>
      <c r="B282" s="1359"/>
      <c r="C282" s="1359"/>
      <c r="D282" s="1359"/>
      <c r="E282" s="2275"/>
      <c r="F282" s="2274" t="s">
        <v>28</v>
      </c>
      <c r="G282" s="1359"/>
      <c r="H282" s="1359"/>
      <c r="I282" s="1359"/>
      <c r="J282" s="1359"/>
      <c r="K282" s="1359"/>
      <c r="L282" s="1561"/>
      <c r="M282" s="1337"/>
      <c r="N282" s="1337"/>
      <c r="O282" s="1658"/>
      <c r="P282" s="1332"/>
      <c r="Q282" s="1360"/>
      <c r="R282" s="1332"/>
      <c r="S282" s="1338"/>
      <c r="T282" s="1341" t="s">
        <v>269</v>
      </c>
      <c r="U282" s="1340"/>
      <c r="V282" s="1340"/>
      <c r="W282" s="1340"/>
      <c r="X282" s="1340"/>
      <c r="Y282" s="1340"/>
      <c r="Z282" s="1340"/>
      <c r="AA282" s="1340"/>
      <c r="AB282" s="1340"/>
      <c r="AC282" s="1340"/>
      <c r="AD282" s="1340"/>
      <c r="AE282" s="1340"/>
      <c r="AF282" s="1340"/>
      <c r="AG282" s="1340"/>
      <c r="AH282" s="1340"/>
      <c r="AI282" s="1340"/>
      <c r="AJ282" s="1340"/>
      <c r="AK282" s="1340"/>
      <c r="AL282" s="1340"/>
      <c r="AM282" s="1340"/>
      <c r="AN282" s="1340"/>
      <c r="AO282" s="1340"/>
      <c r="AP282" s="1340"/>
      <c r="AQ282" s="1340"/>
      <c r="AR282" s="1340"/>
      <c r="AS282" s="1340"/>
      <c r="AT282" s="1340"/>
      <c r="AU282" s="1340"/>
      <c r="AV282" s="1658"/>
      <c r="AW282" s="1640"/>
      <c r="AX282" s="1640" t="str">
        <f>IF(T282="","",T282)</f>
        <v>Добавить централизованную систему для дифференциации</v>
      </c>
      <c r="AY282" s="1640"/>
      <c r="AZ282" s="1640"/>
      <c r="BA282" s="1658">
        <v>0</v>
      </c>
    </row>
    <row s="1658" customFormat="1" customHeight="1" ht="1.05">
      <c r="A283" s="1359" t="s">
        <v>264</v>
      </c>
      <c r="B283" s="1359"/>
      <c r="C283" s="1359"/>
      <c r="D283" s="1359"/>
      <c r="E283" s="2274"/>
      <c r="F283" s="1359"/>
      <c r="G283" s="1359"/>
      <c r="H283" s="1359"/>
      <c r="I283" s="1359"/>
      <c r="J283" s="1359"/>
      <c r="K283" s="1359"/>
      <c r="L283" s="1362"/>
      <c r="M283" s="1337"/>
      <c r="N283" s="1337"/>
      <c r="O283" s="534"/>
      <c r="P283" s="396"/>
      <c r="Q283" s="1360"/>
      <c r="R283" s="396"/>
      <c r="S283" s="1338"/>
      <c r="T283" s="1341" t="s">
        <v>330</v>
      </c>
      <c r="U283" s="1340"/>
      <c r="V283" s="1340"/>
      <c r="W283" s="1340"/>
      <c r="X283" s="1340"/>
      <c r="Y283" s="1340"/>
      <c r="Z283" s="1340"/>
      <c r="AA283" s="1340"/>
      <c r="AB283" s="1340"/>
      <c r="AC283" s="1340"/>
      <c r="AD283" s="1340"/>
      <c r="AE283" s="1340"/>
      <c r="AF283" s="1340"/>
      <c r="AG283" s="1340"/>
      <c r="AH283" s="1340"/>
      <c r="AI283" s="1340"/>
      <c r="AJ283" s="1340"/>
      <c r="AK283" s="1340"/>
      <c r="AL283" s="1340"/>
      <c r="AM283" s="1340"/>
      <c r="AN283" s="1340"/>
      <c r="AO283" s="1340"/>
      <c r="AP283" s="1340"/>
      <c r="AQ283" s="1340"/>
      <c r="AR283" s="1340"/>
      <c r="AS283" s="1340"/>
      <c r="AT283" s="1340"/>
      <c r="AU283" s="1340"/>
      <c r="AW283" s="516"/>
      <c r="AX283" s="516" t="str">
        <f>IF(T283="","",T283)</f>
        <v>Добавить территорию для дифференциации</v>
      </c>
      <c r="AY283" s="516"/>
      <c r="AZ283" s="516"/>
      <c r="BA283" s="527">
        <v>1</v>
      </c>
    </row>
    <row s="1866" customFormat="1" customHeight="1" ht="21">
      <c r="A284" s="1379" t="s">
        <v>332</v>
      </c>
      <c r="B284" s="1379"/>
      <c r="C284" s="1379"/>
      <c r="D284" s="1379"/>
      <c r="E284" s="2274" t="s">
        <v>107</v>
      </c>
      <c r="F284" s="1379"/>
      <c r="G284" s="1379"/>
      <c r="H284" s="1379"/>
      <c r="I284" s="1379"/>
      <c r="J284" s="1379"/>
      <c r="K284" s="1379"/>
      <c r="L284" s="1385"/>
      <c r="M284" s="1381"/>
      <c r="N284" s="1381"/>
      <c r="O284" s="1381"/>
      <c r="P284" s="1792"/>
      <c r="Q284" s="1699"/>
      <c r="R284" s="371"/>
      <c r="S284" s="2289" t="str">
        <f>INDEX(PT_DIFFERENTIATION_NUM_NTAR,MATCH(A284,PT_DIFFERENTIATION_NTAR_ID,0))</f>
        <v>2</v>
      </c>
      <c r="T284" s="1541" t="s">
        <v>192</v>
      </c>
      <c r="U284" s="316"/>
      <c r="V284" s="2259"/>
      <c r="W284" s="2259"/>
      <c r="X284" s="2259"/>
      <c r="Y284" s="2259"/>
      <c r="Z284" s="2259"/>
      <c r="AA284" s="2260"/>
      <c r="AB284" s="2258" t="str">
        <f>INDEX(PT_DIFFERENTIATION_NTAR,MATCH(A284,PT_DIFFERENTIATION_NTAR_ID,0))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C284" s="2259"/>
      <c r="AD284" s="2259"/>
      <c r="AE284" s="2259"/>
      <c r="AF284" s="2259"/>
      <c r="AG284" s="2259"/>
      <c r="AH284" s="2259"/>
      <c r="AI284" s="2259"/>
      <c r="AJ284" s="2259"/>
      <c r="AK284" s="2259"/>
      <c r="AL284" s="2259"/>
      <c r="AM284" s="2259"/>
      <c r="AN284" s="2259"/>
      <c r="AO284" s="2259"/>
      <c r="AP284" s="2259"/>
      <c r="AQ284" s="2259"/>
      <c r="AR284" s="2259"/>
      <c r="AS284" s="2259"/>
      <c r="AT284" s="2260"/>
      <c r="AU284" s="1274" t="s">
        <v>549</v>
      </c>
      <c r="AV284" s="1658"/>
      <c r="AW284" s="1640"/>
      <c r="AX284" s="1640" t="str">
        <f>IF(T284="","",T284)</f>
        <v>Наименование тарифа</v>
      </c>
      <c r="AY284" s="1640"/>
      <c r="AZ284" s="1640"/>
      <c r="BA284" s="1651">
        <v>0</v>
      </c>
    </row>
    <row s="1866" customFormat="1" customHeight="1" ht="21">
      <c r="A285" s="1379"/>
      <c r="B285" s="1379" t="s">
        <v>333</v>
      </c>
      <c r="C285" s="1379"/>
      <c r="D285" s="1379"/>
      <c r="E285" s="2275">
        <v>1</v>
      </c>
      <c r="F285" s="2274">
        <v>1</v>
      </c>
      <c r="G285" s="1379"/>
      <c r="H285" s="1379"/>
      <c r="I285" s="1379"/>
      <c r="J285" s="1379"/>
      <c r="K285" s="1379"/>
      <c r="L285" s="1385"/>
      <c r="M285" s="1381"/>
      <c r="N285" s="1381"/>
      <c r="O285" s="1381"/>
      <c r="P285" s="2623"/>
      <c r="Q285" s="1427"/>
      <c r="R285" s="369"/>
      <c r="S285" s="2289" t="str">
        <f>INDEX(PT_DIFFERENTIATION_NUM_TER,MATCH(B285,PT_DIFFERENTIATION_TER_ID,0))</f>
        <v>2.1</v>
      </c>
      <c r="T285" s="1538" t="s">
        <v>550</v>
      </c>
      <c r="U285" s="316"/>
      <c r="V285" s="2259"/>
      <c r="W285" s="2259"/>
      <c r="X285" s="2259"/>
      <c r="Y285" s="2259"/>
      <c r="Z285" s="2259"/>
      <c r="AA285" s="2260"/>
      <c r="AB285" s="2258" t="str">
        <f>INDEX(PT_DIFFERENTIATION_TER,MATCH(B285,PT_DIFFERENTIATION_TER_ID,0))</f>
        <v>Территория 2</v>
      </c>
      <c r="AC285" s="2259"/>
      <c r="AD285" s="2259"/>
      <c r="AE285" s="2259"/>
      <c r="AF285" s="2259"/>
      <c r="AG285" s="2259"/>
      <c r="AH285" s="2259"/>
      <c r="AI285" s="2259"/>
      <c r="AJ285" s="2259"/>
      <c r="AK285" s="2259"/>
      <c r="AL285" s="2259"/>
      <c r="AM285" s="2259"/>
      <c r="AN285" s="2259"/>
      <c r="AO285" s="2259"/>
      <c r="AP285" s="2259"/>
      <c r="AQ285" s="2259"/>
      <c r="AR285" s="2259"/>
      <c r="AS285" s="2259"/>
      <c r="AT285" s="2260"/>
      <c r="AU285" s="1274" t="s">
        <v>551</v>
      </c>
      <c r="AV285" s="1658"/>
      <c r="AW285" s="1640"/>
      <c r="AX285" s="1640" t="str">
        <f>IF(T285="","",T285)</f>
        <v>Территория действия тарифа</v>
      </c>
      <c r="AY285" s="1640"/>
      <c r="AZ285" s="1640"/>
      <c r="BA285" s="1651">
        <v>0</v>
      </c>
    </row>
    <row s="1866" customFormat="1" customHeight="1" ht="22.5">
      <c r="A286" s="1379"/>
      <c r="B286" s="1379"/>
      <c r="C286" s="1379" t="s">
        <v>334</v>
      </c>
      <c r="D286" s="1379"/>
      <c r="E286" s="2275">
        <v>1</v>
      </c>
      <c r="F286" s="2275"/>
      <c r="G286" s="2274">
        <v>1</v>
      </c>
      <c r="H286" s="1379"/>
      <c r="I286" s="1379"/>
      <c r="J286" s="1379"/>
      <c r="K286" s="1379"/>
      <c r="L286" s="1385"/>
      <c r="M286" s="1381"/>
      <c r="N286" s="1381"/>
      <c r="O286" s="1381"/>
      <c r="P286" s="1428"/>
      <c r="Q286" s="1427"/>
      <c r="R286" s="369"/>
      <c r="S286" s="2289" t="str">
        <f>INDEX(PT_DIFFERENTIATION_NUM_CS,MATCH(C286,PT_DIFFERENTIATION_CS_ID,0))</f>
        <v>2.1.1</v>
      </c>
      <c r="T286" s="325" t="s">
        <v>552</v>
      </c>
      <c r="U286" s="316"/>
      <c r="V286" s="2259"/>
      <c r="W286" s="2259"/>
      <c r="X286" s="2259"/>
      <c r="Y286" s="2259"/>
      <c r="Z286" s="2259"/>
      <c r="AA286" s="2260"/>
      <c r="AB286" s="2258" t="str">
        <f>INDEX(PT_DIFFERENTIATION_CS,MATCH(C286,PT_DIFFERENTIATION_CS_ID,0))</f>
        <v>Хасанский муниципальный округ</v>
      </c>
      <c r="AC286" s="2259"/>
      <c r="AD286" s="2259"/>
      <c r="AE286" s="2259"/>
      <c r="AF286" s="2259"/>
      <c r="AG286" s="2259"/>
      <c r="AH286" s="2259"/>
      <c r="AI286" s="2259"/>
      <c r="AJ286" s="2259"/>
      <c r="AK286" s="2259"/>
      <c r="AL286" s="2259"/>
      <c r="AM286" s="2259"/>
      <c r="AN286" s="2259"/>
      <c r="AO286" s="2259"/>
      <c r="AP286" s="2259"/>
      <c r="AQ286" s="2259"/>
      <c r="AR286" s="2259"/>
      <c r="AS286" s="2259"/>
      <c r="AT286" s="2260"/>
      <c r="AU286" s="1274" t="s">
        <v>553</v>
      </c>
      <c r="AV286" s="1658"/>
      <c r="AW286" s="1640"/>
      <c r="AX286" s="1640" t="str">
        <f>IF(T286="","",T286)</f>
        <v>Наименование системы теплоснабжения </v>
      </c>
      <c r="AY286" s="1640"/>
      <c r="AZ286" s="1640"/>
      <c r="BA286" s="1651">
        <v>0</v>
      </c>
    </row>
    <row s="1866" customFormat="1" customHeight="1" ht="21">
      <c r="A287" s="1379"/>
      <c r="B287" s="1379"/>
      <c r="C287" s="1379"/>
      <c r="D287" s="1379" t="s">
        <v>335</v>
      </c>
      <c r="E287" s="2275">
        <v>1</v>
      </c>
      <c r="F287" s="2275"/>
      <c r="G287" s="2275"/>
      <c r="H287" s="2274">
        <v>1</v>
      </c>
      <c r="I287" s="1379"/>
      <c r="J287" s="1379"/>
      <c r="K287" s="1379"/>
      <c r="L287" s="1385"/>
      <c r="M287" s="1381"/>
      <c r="N287" s="1381"/>
      <c r="O287" s="1381"/>
      <c r="P287" s="1428"/>
      <c r="Q287" s="1427"/>
      <c r="R287" s="369"/>
      <c r="S287" s="2289" t="str">
        <f>INDEX(PT_DIFFERENTIATION_NUM_IST_TE,MATCH(D287,PT_DIFFERENTIATION_IST_TE_ID,0))</f>
        <v>2.1.1.1</v>
      </c>
      <c r="T287" s="326" t="s">
        <v>554</v>
      </c>
      <c r="U287" s="316"/>
      <c r="V287" s="2259"/>
      <c r="W287" s="2259"/>
      <c r="X287" s="2259"/>
      <c r="Y287" s="2259"/>
      <c r="Z287" s="2259"/>
      <c r="AA287" s="2260"/>
      <c r="AB287" s="2258" t="str">
        <f>INDEX(PT_DIFFERENTIATION_IST_TE,MATCH(D287,PT_DIFFERENTIATION_IST_TE_ID,0))</f>
        <v>без дифференциации</v>
      </c>
      <c r="AC287" s="2259"/>
      <c r="AD287" s="2259"/>
      <c r="AE287" s="2259"/>
      <c r="AF287" s="2259"/>
      <c r="AG287" s="2259"/>
      <c r="AH287" s="2259"/>
      <c r="AI287" s="2259"/>
      <c r="AJ287" s="2259"/>
      <c r="AK287" s="2259"/>
      <c r="AL287" s="2259"/>
      <c r="AM287" s="2259"/>
      <c r="AN287" s="2259"/>
      <c r="AO287" s="2259"/>
      <c r="AP287" s="2259"/>
      <c r="AQ287" s="2259"/>
      <c r="AR287" s="2259"/>
      <c r="AS287" s="2259"/>
      <c r="AT287" s="2260"/>
      <c r="AU287" s="1274" t="s">
        <v>555</v>
      </c>
      <c r="AV287" s="1658"/>
      <c r="AW287" s="1640"/>
      <c r="AX287" s="1640" t="str">
        <f>IF(T287="","",T287)</f>
        <v>Источник тепловой энергии  </v>
      </c>
      <c r="AY287" s="1640"/>
      <c r="AZ287" s="1640"/>
      <c r="BA287" s="1651">
        <v>0</v>
      </c>
    </row>
    <row s="638" customFormat="1" customHeight="1" ht="0.75">
      <c r="A288" s="1359"/>
      <c r="B288" s="1359"/>
      <c r="C288" s="1359"/>
      <c r="D288" s="1359"/>
      <c r="E288" s="2275">
        <v>1</v>
      </c>
      <c r="F288" s="2275"/>
      <c r="G288" s="2275"/>
      <c r="H288" s="2275"/>
      <c r="I288" s="2272" t="str">
        <f>S287&amp;".1"</f>
        <v>2.1.1.1.1</v>
      </c>
      <c r="J288" s="1359"/>
      <c r="K288" s="1359"/>
      <c r="L288" s="1561" t="s">
        <v>556</v>
      </c>
      <c r="M288" s="526"/>
      <c r="N288" s="526"/>
      <c r="O288" s="526"/>
      <c r="P288" s="2390">
        <v>1</v>
      </c>
      <c r="Q288" s="2390"/>
      <c r="R288" s="372"/>
      <c r="S288" s="2320"/>
      <c r="T288" s="1399"/>
      <c r="U288" s="1400"/>
      <c r="V288" s="2313"/>
      <c r="W288" s="2313"/>
      <c r="X288" s="2313"/>
      <c r="Y288" s="2313"/>
      <c r="Z288" s="2313"/>
      <c r="AA288" s="2314"/>
      <c r="AB288" s="2312"/>
      <c r="AC288" s="2313"/>
      <c r="AD288" s="2313"/>
      <c r="AE288" s="2313"/>
      <c r="AF288" s="2313"/>
      <c r="AG288" s="2313"/>
      <c r="AH288" s="2313"/>
      <c r="AI288" s="2313"/>
      <c r="AJ288" s="2313"/>
      <c r="AK288" s="2313"/>
      <c r="AL288" s="2313"/>
      <c r="AM288" s="2313"/>
      <c r="AN288" s="2313"/>
      <c r="AO288" s="2313"/>
      <c r="AP288" s="2313"/>
      <c r="AQ288" s="2313"/>
      <c r="AR288" s="2313"/>
      <c r="AS288" s="2313"/>
      <c r="AT288" s="2314"/>
      <c r="AU288" s="1401"/>
      <c r="AV288" s="1658"/>
      <c r="AW288" s="1640"/>
      <c r="AX288" s="1640" t="str">
        <f>IF(T288="","",T288)</f>
        <v/>
      </c>
      <c r="AY288" s="1640"/>
      <c r="AZ288" s="1640"/>
      <c r="BA288" s="1658">
        <v>0</v>
      </c>
    </row>
    <row s="638" customFormat="1" customHeight="1" ht="0.75">
      <c r="A289" s="1359"/>
      <c r="B289" s="1359"/>
      <c r="C289" s="1359"/>
      <c r="D289" s="1359"/>
      <c r="E289" s="2275">
        <v>1</v>
      </c>
      <c r="F289" s="2275"/>
      <c r="G289" s="2275"/>
      <c r="H289" s="2275"/>
      <c r="I289" s="2302"/>
      <c r="J289" s="2272" t="str">
        <f>S287&amp;".1"</f>
        <v>2.1.1.1.1</v>
      </c>
      <c r="K289" s="1359"/>
      <c r="L289" s="1561"/>
      <c r="M289" s="526"/>
      <c r="N289" s="526"/>
      <c r="O289" s="526"/>
      <c r="P289" s="2390"/>
      <c r="Q289" s="2390">
        <v>1</v>
      </c>
      <c r="R289" s="373"/>
      <c r="S289" s="2320"/>
      <c r="T289" s="1415"/>
      <c r="U289" s="1400"/>
      <c r="V289" s="2313"/>
      <c r="W289" s="2313"/>
      <c r="X289" s="2313"/>
      <c r="Y289" s="2313"/>
      <c r="Z289" s="2313"/>
      <c r="AA289" s="2314"/>
      <c r="AB289" s="2312"/>
      <c r="AC289" s="2313"/>
      <c r="AD289" s="2313"/>
      <c r="AE289" s="2313"/>
      <c r="AF289" s="2313"/>
      <c r="AG289" s="2313"/>
      <c r="AH289" s="2313"/>
      <c r="AI289" s="2313"/>
      <c r="AJ289" s="2313"/>
      <c r="AK289" s="2313"/>
      <c r="AL289" s="2313"/>
      <c r="AM289" s="2313"/>
      <c r="AN289" s="2313"/>
      <c r="AO289" s="2313"/>
      <c r="AP289" s="2313"/>
      <c r="AQ289" s="2313"/>
      <c r="AR289" s="2313"/>
      <c r="AS289" s="2313"/>
      <c r="AT289" s="2314"/>
      <c r="AU289" s="1401"/>
      <c r="AV289" s="1658"/>
      <c r="AW289" s="1640"/>
      <c r="AX289" s="1640" t="str">
        <f>IF(T289="","",T289)</f>
        <v/>
      </c>
      <c r="AY289" s="1640"/>
      <c r="AZ289" s="1640"/>
      <c r="BA289" s="1658">
        <v>0</v>
      </c>
    </row>
    <row s="1866" customFormat="1" customHeight="1" ht="21">
      <c r="A290" s="1379"/>
      <c r="B290" s="1379"/>
      <c r="C290" s="1379"/>
      <c r="D290" s="1379"/>
      <c r="E290" s="2275">
        <v>1</v>
      </c>
      <c r="F290" s="2275"/>
      <c r="G290" s="2275"/>
      <c r="H290" s="2275"/>
      <c r="I290" s="2302"/>
      <c r="J290" s="2302"/>
      <c r="K290" s="2272" t="str">
        <f>S287&amp;".1"</f>
        <v>2.1.1.1.1</v>
      </c>
      <c r="L290" s="1385"/>
      <c r="M290" s="1792"/>
      <c r="N290" s="1792"/>
      <c r="O290" s="1792"/>
      <c r="P290" s="2390"/>
      <c r="Q290" s="2390"/>
      <c r="R290" s="2363">
        <v>1</v>
      </c>
      <c r="S290" s="2357" t="str">
        <f>$K290</f>
        <v>2.1.1.1.1</v>
      </c>
      <c r="T290" s="2360" t="s">
        <v>630</v>
      </c>
      <c r="U290" s="316"/>
      <c r="V290" s="767"/>
      <c r="W290" s="1273"/>
      <c r="X290" s="2618"/>
      <c r="Y290" s="2123" t="s">
        <v>64</v>
      </c>
      <c r="Z290" s="2618"/>
      <c r="AA290" s="2123" t="s">
        <v>64</v>
      </c>
      <c r="AB290" s="2123" t="s">
        <v>19</v>
      </c>
      <c r="AC290" s="2342"/>
      <c r="AD290" s="2453">
        <v>1</v>
      </c>
      <c r="AE290" s="2364" t="s">
        <v>28</v>
      </c>
      <c r="AF290" s="2123" t="s">
        <v>64</v>
      </c>
      <c r="AG290" s="2342"/>
      <c r="AH290" s="2453">
        <v>1</v>
      </c>
      <c r="AI290" s="2764" t="s">
        <v>632</v>
      </c>
      <c r="AJ290" s="2123" t="s">
        <v>19</v>
      </c>
      <c r="AK290" s="327"/>
      <c r="AL290" s="2453">
        <v>1</v>
      </c>
      <c r="AM290" s="2578" t="s">
        <v>633</v>
      </c>
      <c r="AN290" s="767"/>
      <c r="AO290" s="1273">
        <v>59673.219</v>
      </c>
      <c r="AP290" s="2618">
        <v>45730</v>
      </c>
      <c r="AQ290" s="2123" t="s">
        <v>64</v>
      </c>
      <c r="AR290" s="2618">
        <v>46022</v>
      </c>
      <c r="AS290" s="2123" t="s">
        <v>64</v>
      </c>
      <c r="AT290" s="1364"/>
      <c r="AU290" s="2269" t="s">
        <v>613</v>
      </c>
      <c r="AV290" s="1658">
        <f>STRCHECKDATE(V293:AT293)</f>
      </c>
      <c r="AW290" s="1640"/>
      <c r="AX290" s="1640" t="str">
        <f>IF(T290="","",T290)</f>
        <v>Котельная</v>
      </c>
      <c r="AY290" s="1640"/>
      <c r="AZ290" s="1640"/>
      <c r="BA290" s="1651">
        <v>0</v>
      </c>
    </row>
    <row s="1866" customFormat="1" customHeight="1" ht="11.25">
      <c r="A291" s="1379"/>
      <c r="B291" s="1379"/>
      <c r="C291" s="1379"/>
      <c r="D291" s="1379"/>
      <c r="E291" s="2275">
        <v>1</v>
      </c>
      <c r="F291" s="2275"/>
      <c r="G291" s="2275"/>
      <c r="H291" s="2275"/>
      <c r="I291" s="2302"/>
      <c r="J291" s="2302"/>
      <c r="K291" s="2272"/>
      <c r="L291" s="1385"/>
      <c r="M291" s="1792"/>
      <c r="N291" s="1792"/>
      <c r="O291" s="1792"/>
      <c r="P291" s="2390"/>
      <c r="Q291" s="2390"/>
      <c r="R291" s="2363"/>
      <c r="S291" s="2358"/>
      <c r="T291" s="2361"/>
      <c r="U291" s="316"/>
      <c r="V291" s="2765"/>
      <c r="W291" s="2766"/>
      <c r="X291" s="2618"/>
      <c r="Y291" s="2123"/>
      <c r="Z291" s="2618"/>
      <c r="AA291" s="2123"/>
      <c r="AB291" s="2123"/>
      <c r="AC291" s="2342"/>
      <c r="AD291" s="2453"/>
      <c r="AE291" s="2364" t="s">
        <v>28</v>
      </c>
      <c r="AF291" s="2123"/>
      <c r="AG291" s="2342"/>
      <c r="AH291" s="2453"/>
      <c r="AI291" s="2764" t="s">
        <v>28</v>
      </c>
      <c r="AJ291" s="2123"/>
      <c r="AK291" s="2767"/>
      <c r="AL291" s="2768"/>
      <c r="AM291" s="2769" t="s">
        <v>614</v>
      </c>
      <c r="AN291" s="2770"/>
      <c r="AO291" s="2771"/>
      <c r="AP291" s="2772"/>
      <c r="AQ291" s="2773"/>
      <c r="AR291" s="2774"/>
      <c r="AS291" s="2775"/>
      <c r="AT291" s="1406"/>
      <c r="AU291" s="2270"/>
      <c r="AV291" s="1658"/>
      <c r="AW291" s="1640"/>
      <c r="AX291" s="1640"/>
      <c r="AY291" s="1640"/>
      <c r="AZ291" s="1640"/>
      <c r="BA291" s="1651">
        <v>0</v>
      </c>
    </row>
    <row s="1866" customFormat="1" customHeight="1" ht="11.25">
      <c r="A292" s="1379"/>
      <c r="B292" s="1379"/>
      <c r="C292" s="1379"/>
      <c r="D292" s="1379"/>
      <c r="E292" s="2275">
        <v>1</v>
      </c>
      <c r="F292" s="2275"/>
      <c r="G292" s="2275"/>
      <c r="H292" s="2275"/>
      <c r="I292" s="2302"/>
      <c r="J292" s="2302"/>
      <c r="K292" s="2272"/>
      <c r="L292" s="1385"/>
      <c r="M292" s="1792"/>
      <c r="N292" s="1792"/>
      <c r="O292" s="1792"/>
      <c r="P292" s="2390"/>
      <c r="Q292" s="2390"/>
      <c r="R292" s="2363"/>
      <c r="S292" s="2358"/>
      <c r="T292" s="2361"/>
      <c r="U292" s="316"/>
      <c r="V292" s="2776"/>
      <c r="W292" s="2777"/>
      <c r="X292" s="2618"/>
      <c r="Y292" s="2123"/>
      <c r="Z292" s="2618"/>
      <c r="AA292" s="2123"/>
      <c r="AB292" s="2123"/>
      <c r="AC292" s="2342"/>
      <c r="AD292" s="2453"/>
      <c r="AE292" s="2364" t="s">
        <v>28</v>
      </c>
      <c r="AF292" s="2123"/>
      <c r="AG292" s="2778"/>
      <c r="AH292" s="2779"/>
      <c r="AI292" s="2780" t="s">
        <v>615</v>
      </c>
      <c r="AJ292" s="2781"/>
      <c r="AK292" s="2782"/>
      <c r="AL292" s="2783"/>
      <c r="AM292" s="2784"/>
      <c r="AN292" s="2785"/>
      <c r="AO292" s="2786"/>
      <c r="AP292" s="2787"/>
      <c r="AQ292" s="2788"/>
      <c r="AR292" s="2789"/>
      <c r="AS292" s="2790"/>
      <c r="AT292" s="1406"/>
      <c r="AU292" s="2270"/>
      <c r="AV292" s="1658"/>
      <c r="AW292" s="1640"/>
      <c r="AX292" s="1640"/>
      <c r="AY292" s="1640"/>
      <c r="AZ292" s="1640"/>
      <c r="BA292" s="1651">
        <v>0</v>
      </c>
    </row>
    <row s="1866" customFormat="1" customHeight="1" ht="11.25">
      <c r="A293" s="1379"/>
      <c r="B293" s="1379"/>
      <c r="C293" s="1379"/>
      <c r="D293" s="1379"/>
      <c r="E293" s="2275">
        <v>1</v>
      </c>
      <c r="F293" s="2275"/>
      <c r="G293" s="2275"/>
      <c r="H293" s="2275"/>
      <c r="I293" s="2302"/>
      <c r="J293" s="2302"/>
      <c r="K293" s="2272"/>
      <c r="L293" s="1385"/>
      <c r="M293" s="1792"/>
      <c r="N293" s="1792"/>
      <c r="O293" s="1792"/>
      <c r="P293" s="2390"/>
      <c r="Q293" s="2390"/>
      <c r="R293" s="2363"/>
      <c r="S293" s="2359"/>
      <c r="T293" s="2362"/>
      <c r="U293" s="316"/>
      <c r="V293" s="2791"/>
      <c r="W293" s="2792" t="str">
        <f>X290&amp;"-"&amp;Z290</f>
        <v>-</v>
      </c>
      <c r="X293" s="2325"/>
      <c r="Y293" s="2123"/>
      <c r="Z293" s="2325"/>
      <c r="AA293" s="2123"/>
      <c r="AB293" s="2123"/>
      <c r="AC293" s="2793"/>
      <c r="AD293" s="2794"/>
      <c r="AE293" s="2795" t="s">
        <v>616</v>
      </c>
      <c r="AF293" s="2796"/>
      <c r="AG293" s="2797"/>
      <c r="AH293" s="2798"/>
      <c r="AI293" s="2799"/>
      <c r="AJ293" s="2800"/>
      <c r="AK293" s="2801"/>
      <c r="AL293" s="2802"/>
      <c r="AM293" s="2803"/>
      <c r="AN293" s="2804"/>
      <c r="AO293" s="2805" t="str">
        <f>AP290&amp;"-"&amp;AR290</f>
        <v>45730-46022</v>
      </c>
      <c r="AP293" s="2806"/>
      <c r="AQ293" s="2807"/>
      <c r="AR293" s="2808"/>
      <c r="AS293" s="2809"/>
      <c r="AT293" s="1365"/>
      <c r="AU293" s="2270"/>
      <c r="AV293" s="1658"/>
      <c r="AW293" s="1640"/>
      <c r="AX293" s="1640" t="str">
        <f>IF(T293="","",T293)</f>
        <v/>
      </c>
      <c r="AY293" s="1640"/>
      <c r="AZ293" s="1640"/>
      <c r="BA293" s="1651">
        <v>0</v>
      </c>
    </row>
    <row s="1866" customFormat="1" customHeight="1" ht="11.25">
      <c r="A294" s="1379"/>
      <c r="B294" s="1379"/>
      <c r="C294" s="1379"/>
      <c r="D294" s="1379"/>
      <c r="E294" s="2275">
        <v>1</v>
      </c>
      <c r="F294" s="2275"/>
      <c r="G294" s="2275"/>
      <c r="H294" s="2275"/>
      <c r="I294" s="2302"/>
      <c r="J294" s="2272"/>
      <c r="K294" s="1379"/>
      <c r="L294" s="1385"/>
      <c r="M294" s="1792"/>
      <c r="N294" s="1792"/>
      <c r="O294" s="1792"/>
      <c r="P294" s="2390"/>
      <c r="Q294" s="2390"/>
      <c r="R294" s="372"/>
      <c r="S294" s="2810"/>
      <c r="T294" s="2811" t="s">
        <v>617</v>
      </c>
      <c r="U294" s="2812"/>
      <c r="V294" s="2813"/>
      <c r="W294" s="2814"/>
      <c r="X294" s="2815"/>
      <c r="Y294" s="2816"/>
      <c r="Z294" s="2817"/>
      <c r="AA294" s="2818"/>
      <c r="AB294" s="2819"/>
      <c r="AC294" s="2820"/>
      <c r="AD294" s="2821"/>
      <c r="AE294" s="2822"/>
      <c r="AF294" s="2823"/>
      <c r="AG294" s="2824"/>
      <c r="AH294" s="2825"/>
      <c r="AI294" s="2826"/>
      <c r="AJ294" s="2827"/>
      <c r="AK294" s="2828"/>
      <c r="AL294" s="2829"/>
      <c r="AM294" s="2830"/>
      <c r="AN294" s="2831"/>
      <c r="AO294" s="2832"/>
      <c r="AP294" s="2833"/>
      <c r="AQ294" s="2834"/>
      <c r="AR294" s="2835"/>
      <c r="AS294" s="2836"/>
      <c r="AT294" s="2837"/>
      <c r="AU294" s="2271"/>
      <c r="AV294" s="1658"/>
      <c r="AW294" s="1640"/>
      <c r="AX294" s="1640" t="str">
        <f>IF(T294="","",T294)</f>
        <v>Добавить строку</v>
      </c>
      <c r="AY294" s="1640"/>
      <c r="AZ294" s="1640"/>
      <c r="BA294" s="1651">
        <v>0</v>
      </c>
    </row>
    <row s="638" customFormat="1" customHeight="1" ht="0.75">
      <c r="A295" s="1359"/>
      <c r="B295" s="1359"/>
      <c r="C295" s="1359"/>
      <c r="D295" s="1359"/>
      <c r="E295" s="2275">
        <v>1</v>
      </c>
      <c r="F295" s="2275"/>
      <c r="G295" s="2275"/>
      <c r="H295" s="2275"/>
      <c r="I295" s="2272"/>
      <c r="J295" s="1359"/>
      <c r="K295" s="1359"/>
      <c r="L295" s="1561"/>
      <c r="M295" s="526"/>
      <c r="N295" s="526"/>
      <c r="O295" s="526"/>
      <c r="P295" s="2390"/>
      <c r="Q295" s="2390"/>
      <c r="R295" s="372"/>
      <c r="S295" s="1402"/>
      <c r="T295" s="1403"/>
      <c r="U295" s="1404"/>
      <c r="V295" s="1404"/>
      <c r="W295" s="1404"/>
      <c r="X295" s="1404"/>
      <c r="Y295" s="1404"/>
      <c r="Z295" s="1404"/>
      <c r="AA295" s="1404"/>
      <c r="AB295" s="1404"/>
      <c r="AC295" s="1404"/>
      <c r="AD295" s="1404"/>
      <c r="AE295" s="1404"/>
      <c r="AF295" s="1404"/>
      <c r="AG295" s="1404"/>
      <c r="AH295" s="1404"/>
      <c r="AI295" s="1404"/>
      <c r="AJ295" s="1404"/>
      <c r="AK295" s="1404"/>
      <c r="AL295" s="1404"/>
      <c r="AM295" s="1404"/>
      <c r="AN295" s="1404"/>
      <c r="AO295" s="1404"/>
      <c r="AP295" s="1404"/>
      <c r="AQ295" s="1404"/>
      <c r="AR295" s="1404"/>
      <c r="AS295" s="1404"/>
      <c r="AT295" s="1404"/>
      <c r="AU295" s="1405"/>
      <c r="AV295" s="1658"/>
      <c r="AW295" s="1640"/>
      <c r="AX295" s="1640" t="str">
        <f>IF(T295="","",T295)</f>
        <v/>
      </c>
      <c r="AY295" s="1640"/>
      <c r="AZ295" s="1640"/>
      <c r="BA295" s="1658">
        <v>0</v>
      </c>
    </row>
    <row s="638" customFormat="1" customHeight="1" ht="0.75">
      <c r="A296" s="1359"/>
      <c r="B296" s="1359"/>
      <c r="C296" s="1359"/>
      <c r="D296" s="1359"/>
      <c r="E296" s="2275">
        <v>1</v>
      </c>
      <c r="F296" s="2275"/>
      <c r="G296" s="2275"/>
      <c r="H296" s="2274"/>
      <c r="I296" s="1359"/>
      <c r="J296" s="1359"/>
      <c r="K296" s="1359"/>
      <c r="L296" s="1561"/>
      <c r="M296" s="1331"/>
      <c r="N296" s="1331"/>
      <c r="O296" s="1658"/>
      <c r="P296" s="1332"/>
      <c r="Q296" s="1360"/>
      <c r="R296" s="1417"/>
      <c r="S296" s="1402"/>
      <c r="T296" s="1403"/>
      <c r="U296" s="1404"/>
      <c r="V296" s="1404"/>
      <c r="W296" s="1404"/>
      <c r="X296" s="1404"/>
      <c r="Y296" s="1404"/>
      <c r="Z296" s="1404"/>
      <c r="AA296" s="1404"/>
      <c r="AB296" s="1404"/>
      <c r="AC296" s="1404"/>
      <c r="AD296" s="1404"/>
      <c r="AE296" s="1404"/>
      <c r="AF296" s="1404"/>
      <c r="AG296" s="1404"/>
      <c r="AH296" s="1404"/>
      <c r="AI296" s="1404"/>
      <c r="AJ296" s="1404"/>
      <c r="AK296" s="1404"/>
      <c r="AL296" s="1404"/>
      <c r="AM296" s="1404"/>
      <c r="AN296" s="1404"/>
      <c r="AO296" s="1404"/>
      <c r="AP296" s="1404"/>
      <c r="AQ296" s="1404"/>
      <c r="AR296" s="1404"/>
      <c r="AS296" s="1404"/>
      <c r="AT296" s="1404"/>
      <c r="AU296" s="1405"/>
      <c r="AV296" s="1658"/>
      <c r="AW296" s="1640"/>
      <c r="AX296" s="1640" t="str">
        <f>IF(T296="","",T296)</f>
        <v/>
      </c>
      <c r="AY296" s="1640"/>
      <c r="AZ296" s="1640"/>
      <c r="BA296" s="1658">
        <v>0</v>
      </c>
    </row>
    <row s="638" customFormat="1" customHeight="1" ht="0.75">
      <c r="A297" s="1359"/>
      <c r="B297" s="1359"/>
      <c r="C297" s="1359"/>
      <c r="D297" s="1359"/>
      <c r="E297" s="2275">
        <v>1</v>
      </c>
      <c r="F297" s="2275"/>
      <c r="G297" s="2274"/>
      <c r="H297" s="1359"/>
      <c r="I297" s="1359"/>
      <c r="J297" s="1359"/>
      <c r="K297" s="1359"/>
      <c r="L297" s="1561"/>
      <c r="M297" s="1331"/>
      <c r="N297" s="1331"/>
      <c r="O297" s="1658"/>
      <c r="P297" s="1332"/>
      <c r="Q297" s="1360"/>
      <c r="R297" s="1332"/>
      <c r="S297" s="1338"/>
      <c r="T297" s="1341" t="s">
        <v>268</v>
      </c>
      <c r="U297" s="1340"/>
      <c r="V297" s="1340"/>
      <c r="W297" s="1340"/>
      <c r="X297" s="1340"/>
      <c r="Y297" s="1340"/>
      <c r="Z297" s="1340"/>
      <c r="AA297" s="1340"/>
      <c r="AB297" s="1340"/>
      <c r="AC297" s="1340"/>
      <c r="AD297" s="1340"/>
      <c r="AE297" s="1340"/>
      <c r="AF297" s="1340"/>
      <c r="AG297" s="1340"/>
      <c r="AH297" s="1340"/>
      <c r="AI297" s="1340"/>
      <c r="AJ297" s="1340"/>
      <c r="AK297" s="1340"/>
      <c r="AL297" s="1340"/>
      <c r="AM297" s="1340"/>
      <c r="AN297" s="1340"/>
      <c r="AO297" s="1340"/>
      <c r="AP297" s="1340"/>
      <c r="AQ297" s="1340"/>
      <c r="AR297" s="1340"/>
      <c r="AS297" s="1340"/>
      <c r="AT297" s="1340"/>
      <c r="AU297" s="1340"/>
      <c r="AV297" s="1658"/>
      <c r="AW297" s="1640"/>
      <c r="AX297" s="1640" t="str">
        <f>IF(T297="","",T297)</f>
        <v>Добавить источник для дифференциации</v>
      </c>
      <c r="AY297" s="1640"/>
      <c r="AZ297" s="1640"/>
      <c r="BA297" s="1658">
        <v>0</v>
      </c>
    </row>
    <row s="638" customFormat="1" customHeight="1" ht="0.75">
      <c r="A298" s="1359"/>
      <c r="B298" s="1359"/>
      <c r="C298" s="1359"/>
      <c r="D298" s="1359"/>
      <c r="E298" s="2275">
        <v>1</v>
      </c>
      <c r="F298" s="2274"/>
      <c r="G298" s="1359"/>
      <c r="H298" s="1359"/>
      <c r="I298" s="1359"/>
      <c r="J298" s="1359"/>
      <c r="K298" s="1359"/>
      <c r="L298" s="1561"/>
      <c r="M298" s="1337"/>
      <c r="N298" s="1337"/>
      <c r="O298" s="1658"/>
      <c r="P298" s="1332"/>
      <c r="Q298" s="1360"/>
      <c r="R298" s="1332"/>
      <c r="S298" s="1338"/>
      <c r="T298" s="1341" t="s">
        <v>269</v>
      </c>
      <c r="U298" s="1340"/>
      <c r="V298" s="1340"/>
      <c r="W298" s="1340"/>
      <c r="X298" s="1340"/>
      <c r="Y298" s="1340"/>
      <c r="Z298" s="1340"/>
      <c r="AA298" s="1340"/>
      <c r="AB298" s="1340"/>
      <c r="AC298" s="1340"/>
      <c r="AD298" s="1340"/>
      <c r="AE298" s="1340"/>
      <c r="AF298" s="1340"/>
      <c r="AG298" s="1340"/>
      <c r="AH298" s="1340"/>
      <c r="AI298" s="1340"/>
      <c r="AJ298" s="1340"/>
      <c r="AK298" s="1340"/>
      <c r="AL298" s="1340"/>
      <c r="AM298" s="1340"/>
      <c r="AN298" s="1340"/>
      <c r="AO298" s="1340"/>
      <c r="AP298" s="1340"/>
      <c r="AQ298" s="1340"/>
      <c r="AR298" s="1340"/>
      <c r="AS298" s="1340"/>
      <c r="AT298" s="1340"/>
      <c r="AU298" s="1340"/>
      <c r="AV298" s="1658"/>
      <c r="AW298" s="1640"/>
      <c r="AX298" s="1640" t="str">
        <f>IF(T298="","",T298)</f>
        <v>Добавить централизованную систему для дифференциации</v>
      </c>
      <c r="AY298" s="1640"/>
      <c r="AZ298" s="1640"/>
      <c r="BA298" s="1658">
        <v>0</v>
      </c>
    </row>
    <row s="1866" customFormat="1" customHeight="1" ht="21">
      <c r="A299" s="1379"/>
      <c r="B299" s="1379" t="s">
        <v>337</v>
      </c>
      <c r="C299" s="1379"/>
      <c r="D299" s="1379"/>
      <c r="E299" s="2275"/>
      <c r="F299" s="2274" t="s">
        <v>107</v>
      </c>
      <c r="G299" s="1379"/>
      <c r="H299" s="1379"/>
      <c r="I299" s="1379"/>
      <c r="J299" s="1379"/>
      <c r="K299" s="1379"/>
      <c r="L299" s="1385"/>
      <c r="M299" s="1381"/>
      <c r="N299" s="1381"/>
      <c r="O299" s="1381"/>
      <c r="P299" s="2623"/>
      <c r="Q299" s="1427"/>
      <c r="R299" s="369"/>
      <c r="S299" s="2289" t="str">
        <f>INDEX(PT_DIFFERENTIATION_NUM_TER,MATCH(B299,PT_DIFFERENTIATION_TER_ID,0))</f>
        <v>2.2</v>
      </c>
      <c r="T299" s="1538" t="s">
        <v>550</v>
      </c>
      <c r="U299" s="316"/>
      <c r="V299" s="2259"/>
      <c r="W299" s="2259"/>
      <c r="X299" s="2259"/>
      <c r="Y299" s="2259"/>
      <c r="Z299" s="2259"/>
      <c r="AA299" s="2260"/>
      <c r="AB299" s="2258" t="str">
        <f>INDEX(PT_DIFFERENTIATION_TER,MATCH(B299,PT_DIFFERENTIATION_TER_ID,0))</f>
        <v>Территория 3</v>
      </c>
      <c r="AC299" s="2259"/>
      <c r="AD299" s="2259"/>
      <c r="AE299" s="2259"/>
      <c r="AF299" s="2259"/>
      <c r="AG299" s="2259"/>
      <c r="AH299" s="2259"/>
      <c r="AI299" s="2259"/>
      <c r="AJ299" s="2259"/>
      <c r="AK299" s="2259"/>
      <c r="AL299" s="2259"/>
      <c r="AM299" s="2259"/>
      <c r="AN299" s="2259"/>
      <c r="AO299" s="2259"/>
      <c r="AP299" s="2259"/>
      <c r="AQ299" s="2259"/>
      <c r="AR299" s="2259"/>
      <c r="AS299" s="2259"/>
      <c r="AT299" s="2260"/>
      <c r="AU299" s="1274" t="s">
        <v>551</v>
      </c>
      <c r="AV299" s="1658"/>
      <c r="AW299" s="1640"/>
      <c r="AX299" s="1640" t="str">
        <f>IF(T299="","",T299)</f>
        <v>Территория действия тарифа</v>
      </c>
      <c r="AY299" s="1640"/>
      <c r="AZ299" s="1640"/>
      <c r="BA299" s="1651">
        <v>0</v>
      </c>
    </row>
    <row s="1866" customFormat="1" customHeight="1" ht="22.5">
      <c r="A300" s="1379"/>
      <c r="B300" s="1379"/>
      <c r="C300" s="1379" t="s">
        <v>338</v>
      </c>
      <c r="D300" s="1379"/>
      <c r="E300" s="2275"/>
      <c r="F300" s="2275">
        <v>1</v>
      </c>
      <c r="G300" s="2274">
        <v>1</v>
      </c>
      <c r="H300" s="1379"/>
      <c r="I300" s="1379"/>
      <c r="J300" s="1379"/>
      <c r="K300" s="1379"/>
      <c r="L300" s="1385"/>
      <c r="M300" s="1381"/>
      <c r="N300" s="1381"/>
      <c r="O300" s="1381"/>
      <c r="P300" s="1428"/>
      <c r="Q300" s="1427"/>
      <c r="R300" s="369"/>
      <c r="S300" s="2289" t="str">
        <f>INDEX(PT_DIFFERENTIATION_NUM_CS,MATCH(C300,PT_DIFFERENTIATION_CS_ID,0))</f>
        <v>2.2.1</v>
      </c>
      <c r="T300" s="325" t="s">
        <v>552</v>
      </c>
      <c r="U300" s="316"/>
      <c r="V300" s="2259"/>
      <c r="W300" s="2259"/>
      <c r="X300" s="2259"/>
      <c r="Y300" s="2259"/>
      <c r="Z300" s="2259"/>
      <c r="AA300" s="2260"/>
      <c r="AB300" s="2258" t="str">
        <f>INDEX(PT_DIFFERENTIATION_CS,MATCH(C300,PT_DIFFERENTIATION_CS_ID,0))</f>
        <v>п. Рудный Кавалеровский муниципальный округ</v>
      </c>
      <c r="AC300" s="2259"/>
      <c r="AD300" s="2259"/>
      <c r="AE300" s="2259"/>
      <c r="AF300" s="2259"/>
      <c r="AG300" s="2259"/>
      <c r="AH300" s="2259"/>
      <c r="AI300" s="2259"/>
      <c r="AJ300" s="2259"/>
      <c r="AK300" s="2259"/>
      <c r="AL300" s="2259"/>
      <c r="AM300" s="2259"/>
      <c r="AN300" s="2259"/>
      <c r="AO300" s="2259"/>
      <c r="AP300" s="2259"/>
      <c r="AQ300" s="2259"/>
      <c r="AR300" s="2259"/>
      <c r="AS300" s="2259"/>
      <c r="AT300" s="2260"/>
      <c r="AU300" s="1274" t="s">
        <v>553</v>
      </c>
      <c r="AV300" s="1658"/>
      <c r="AW300" s="1640"/>
      <c r="AX300" s="1640" t="str">
        <f>IF(T300="","",T300)</f>
        <v>Наименование системы теплоснабжения </v>
      </c>
      <c r="AY300" s="1640"/>
      <c r="AZ300" s="1640"/>
      <c r="BA300" s="1651">
        <v>0</v>
      </c>
    </row>
    <row s="1866" customFormat="1" customHeight="1" ht="21">
      <c r="A301" s="1379"/>
      <c r="B301" s="1379"/>
      <c r="C301" s="1379"/>
      <c r="D301" s="1379" t="s">
        <v>339</v>
      </c>
      <c r="E301" s="2275"/>
      <c r="F301" s="2275">
        <v>1</v>
      </c>
      <c r="G301" s="2275"/>
      <c r="H301" s="2274">
        <v>1</v>
      </c>
      <c r="I301" s="1379"/>
      <c r="J301" s="1379"/>
      <c r="K301" s="1379"/>
      <c r="L301" s="1385"/>
      <c r="M301" s="1381"/>
      <c r="N301" s="1381"/>
      <c r="O301" s="1381"/>
      <c r="P301" s="1428"/>
      <c r="Q301" s="1427"/>
      <c r="R301" s="369"/>
      <c r="S301" s="2289" t="str">
        <f>INDEX(PT_DIFFERENTIATION_NUM_IST_TE,MATCH(D301,PT_DIFFERENTIATION_IST_TE_ID,0))</f>
        <v>2.2.1.1</v>
      </c>
      <c r="T301" s="326" t="s">
        <v>554</v>
      </c>
      <c r="U301" s="316"/>
      <c r="V301" s="2259"/>
      <c r="W301" s="2259"/>
      <c r="X301" s="2259"/>
      <c r="Y301" s="2259"/>
      <c r="Z301" s="2259"/>
      <c r="AA301" s="2260"/>
      <c r="AB301" s="2258" t="str">
        <f>INDEX(PT_DIFFERENTIATION_IST_TE,MATCH(D301,PT_DIFFERENTIATION_IST_TE_ID,0))</f>
        <v>без дифференциации</v>
      </c>
      <c r="AC301" s="2259"/>
      <c r="AD301" s="2259"/>
      <c r="AE301" s="2259"/>
      <c r="AF301" s="2259"/>
      <c r="AG301" s="2259"/>
      <c r="AH301" s="2259"/>
      <c r="AI301" s="2259"/>
      <c r="AJ301" s="2259"/>
      <c r="AK301" s="2259"/>
      <c r="AL301" s="2259"/>
      <c r="AM301" s="2259"/>
      <c r="AN301" s="2259"/>
      <c r="AO301" s="2259"/>
      <c r="AP301" s="2259"/>
      <c r="AQ301" s="2259"/>
      <c r="AR301" s="2259"/>
      <c r="AS301" s="2259"/>
      <c r="AT301" s="2260"/>
      <c r="AU301" s="1274" t="s">
        <v>555</v>
      </c>
      <c r="AV301" s="1658"/>
      <c r="AW301" s="1640"/>
      <c r="AX301" s="1640" t="str">
        <f>IF(T301="","",T301)</f>
        <v>Источник тепловой энергии  </v>
      </c>
      <c r="AY301" s="1640"/>
      <c r="AZ301" s="1640"/>
      <c r="BA301" s="1651">
        <v>0</v>
      </c>
    </row>
    <row s="638" customFormat="1" customHeight="1" ht="0.75">
      <c r="A302" s="1359"/>
      <c r="B302" s="1359"/>
      <c r="C302" s="1359"/>
      <c r="D302" s="1359"/>
      <c r="E302" s="2275"/>
      <c r="F302" s="2275">
        <v>1</v>
      </c>
      <c r="G302" s="2275"/>
      <c r="H302" s="2275"/>
      <c r="I302" s="2272" t="str">
        <f>S301&amp;".1"</f>
        <v>2.2.1.1.1</v>
      </c>
      <c r="J302" s="1359"/>
      <c r="K302" s="1359"/>
      <c r="L302" s="1561" t="s">
        <v>556</v>
      </c>
      <c r="M302" s="526"/>
      <c r="N302" s="526"/>
      <c r="O302" s="526"/>
      <c r="P302" s="2390">
        <v>1</v>
      </c>
      <c r="Q302" s="2390"/>
      <c r="R302" s="372"/>
      <c r="S302" s="2320"/>
      <c r="T302" s="1399"/>
      <c r="U302" s="1400"/>
      <c r="V302" s="2313"/>
      <c r="W302" s="2313"/>
      <c r="X302" s="2313"/>
      <c r="Y302" s="2313"/>
      <c r="Z302" s="2313"/>
      <c r="AA302" s="2314"/>
      <c r="AB302" s="2312"/>
      <c r="AC302" s="2313"/>
      <c r="AD302" s="2313"/>
      <c r="AE302" s="2313"/>
      <c r="AF302" s="2313"/>
      <c r="AG302" s="2313"/>
      <c r="AH302" s="2313"/>
      <c r="AI302" s="2313"/>
      <c r="AJ302" s="2313"/>
      <c r="AK302" s="2313"/>
      <c r="AL302" s="2313"/>
      <c r="AM302" s="2313"/>
      <c r="AN302" s="2313"/>
      <c r="AO302" s="2313"/>
      <c r="AP302" s="2313"/>
      <c r="AQ302" s="2313"/>
      <c r="AR302" s="2313"/>
      <c r="AS302" s="2313"/>
      <c r="AT302" s="2314"/>
      <c r="AU302" s="1401"/>
      <c r="AV302" s="1658"/>
      <c r="AW302" s="1640"/>
      <c r="AX302" s="1640" t="str">
        <f>IF(T302="","",T302)</f>
        <v/>
      </c>
      <c r="AY302" s="1640"/>
      <c r="AZ302" s="1640"/>
      <c r="BA302" s="1658">
        <v>0</v>
      </c>
    </row>
    <row s="638" customFormat="1" customHeight="1" ht="0.75">
      <c r="A303" s="1359"/>
      <c r="B303" s="1359"/>
      <c r="C303" s="1359"/>
      <c r="D303" s="1359"/>
      <c r="E303" s="2275"/>
      <c r="F303" s="2275">
        <v>1</v>
      </c>
      <c r="G303" s="2275"/>
      <c r="H303" s="2275"/>
      <c r="I303" s="2302"/>
      <c r="J303" s="2272" t="str">
        <f>S301&amp;".1"</f>
        <v>2.2.1.1.1</v>
      </c>
      <c r="K303" s="1359"/>
      <c r="L303" s="1561"/>
      <c r="M303" s="526"/>
      <c r="N303" s="526"/>
      <c r="O303" s="526"/>
      <c r="P303" s="2390"/>
      <c r="Q303" s="2390">
        <v>1</v>
      </c>
      <c r="R303" s="373"/>
      <c r="S303" s="2320"/>
      <c r="T303" s="1415"/>
      <c r="U303" s="1400"/>
      <c r="V303" s="2313"/>
      <c r="W303" s="2313"/>
      <c r="X303" s="2313"/>
      <c r="Y303" s="2313"/>
      <c r="Z303" s="2313"/>
      <c r="AA303" s="2314"/>
      <c r="AB303" s="2312"/>
      <c r="AC303" s="2313"/>
      <c r="AD303" s="2313"/>
      <c r="AE303" s="2313"/>
      <c r="AF303" s="2313"/>
      <c r="AG303" s="2313"/>
      <c r="AH303" s="2313"/>
      <c r="AI303" s="2313"/>
      <c r="AJ303" s="2313"/>
      <c r="AK303" s="2313"/>
      <c r="AL303" s="2313"/>
      <c r="AM303" s="2313"/>
      <c r="AN303" s="2313"/>
      <c r="AO303" s="2313"/>
      <c r="AP303" s="2313"/>
      <c r="AQ303" s="2313"/>
      <c r="AR303" s="2313"/>
      <c r="AS303" s="2313"/>
      <c r="AT303" s="2314"/>
      <c r="AU303" s="1401"/>
      <c r="AV303" s="1658"/>
      <c r="AW303" s="1640"/>
      <c r="AX303" s="1640" t="str">
        <f>IF(T303="","",T303)</f>
        <v/>
      </c>
      <c r="AY303" s="1640"/>
      <c r="AZ303" s="1640"/>
      <c r="BA303" s="1658">
        <v>0</v>
      </c>
    </row>
    <row s="1866" customFormat="1" customHeight="1" ht="21">
      <c r="A304" s="1379"/>
      <c r="B304" s="1379"/>
      <c r="C304" s="1379"/>
      <c r="D304" s="1379"/>
      <c r="E304" s="2275"/>
      <c r="F304" s="2275">
        <v>1</v>
      </c>
      <c r="G304" s="2275"/>
      <c r="H304" s="2275"/>
      <c r="I304" s="2302"/>
      <c r="J304" s="2302"/>
      <c r="K304" s="2272" t="str">
        <f>S301&amp;".1"</f>
        <v>2.2.1.1.1</v>
      </c>
      <c r="L304" s="1385"/>
      <c r="M304" s="1792"/>
      <c r="N304" s="1792"/>
      <c r="O304" s="1792"/>
      <c r="P304" s="2390"/>
      <c r="Q304" s="2390"/>
      <c r="R304" s="2363">
        <v>1</v>
      </c>
      <c r="S304" s="2357" t="str">
        <f>$K304</f>
        <v>2.2.1.1.1</v>
      </c>
      <c r="T304" s="2360" t="s">
        <v>630</v>
      </c>
      <c r="U304" s="316"/>
      <c r="V304" s="767"/>
      <c r="W304" s="1273"/>
      <c r="X304" s="2618"/>
      <c r="Y304" s="2123" t="s">
        <v>64</v>
      </c>
      <c r="Z304" s="2618"/>
      <c r="AA304" s="2123" t="s">
        <v>64</v>
      </c>
      <c r="AB304" s="2123" t="s">
        <v>19</v>
      </c>
      <c r="AC304" s="2342"/>
      <c r="AD304" s="2453">
        <v>1</v>
      </c>
      <c r="AE304" s="2364" t="s">
        <v>28</v>
      </c>
      <c r="AF304" s="2123" t="s">
        <v>19</v>
      </c>
      <c r="AG304" s="2342"/>
      <c r="AH304" s="2453">
        <v>1</v>
      </c>
      <c r="AI304" s="2343" t="s">
        <v>632</v>
      </c>
      <c r="AJ304" s="2123" t="s">
        <v>19</v>
      </c>
      <c r="AK304" s="327"/>
      <c r="AL304" s="2453">
        <v>1</v>
      </c>
      <c r="AM304" s="2578" t="s">
        <v>633</v>
      </c>
      <c r="AN304" s="767"/>
      <c r="AO304" s="1273">
        <v>5746.507</v>
      </c>
      <c r="AP304" s="2618">
        <v>45769</v>
      </c>
      <c r="AQ304" s="2123" t="s">
        <v>64</v>
      </c>
      <c r="AR304" s="2618">
        <v>46022</v>
      </c>
      <c r="AS304" s="2123" t="s">
        <v>64</v>
      </c>
      <c r="AT304" s="1364"/>
      <c r="AU304" s="2269" t="s">
        <v>613</v>
      </c>
      <c r="AV304" s="1658">
        <f>STRCHECKDATE(V307:AT307)</f>
      </c>
      <c r="AW304" s="1640"/>
      <c r="AX304" s="1640" t="str">
        <f>IF(T304="","",T304)</f>
        <v>Котельная</v>
      </c>
      <c r="AY304" s="1640"/>
      <c r="AZ304" s="1640"/>
      <c r="BA304" s="1651">
        <v>0</v>
      </c>
    </row>
    <row s="1866" customFormat="1" customHeight="1" ht="11.25">
      <c r="A305" s="1379"/>
      <c r="B305" s="1379"/>
      <c r="C305" s="1379"/>
      <c r="D305" s="1379"/>
      <c r="E305" s="2275"/>
      <c r="F305" s="2275">
        <v>1</v>
      </c>
      <c r="G305" s="2275"/>
      <c r="H305" s="2275"/>
      <c r="I305" s="2302"/>
      <c r="J305" s="2302"/>
      <c r="K305" s="2272"/>
      <c r="L305" s="1385"/>
      <c r="M305" s="1792"/>
      <c r="N305" s="1792"/>
      <c r="O305" s="1792"/>
      <c r="P305" s="2390"/>
      <c r="Q305" s="2390"/>
      <c r="R305" s="2363"/>
      <c r="S305" s="2358"/>
      <c r="T305" s="2361"/>
      <c r="U305" s="316"/>
      <c r="V305" s="2941"/>
      <c r="W305" s="2942"/>
      <c r="X305" s="2618"/>
      <c r="Y305" s="2123"/>
      <c r="Z305" s="2618"/>
      <c r="AA305" s="2123"/>
      <c r="AB305" s="2123"/>
      <c r="AC305" s="2342"/>
      <c r="AD305" s="2453"/>
      <c r="AE305" s="2364" t="s">
        <v>28</v>
      </c>
      <c r="AF305" s="2123"/>
      <c r="AG305" s="2342"/>
      <c r="AH305" s="2453"/>
      <c r="AI305" s="2343"/>
      <c r="AJ305" s="2123"/>
      <c r="AK305" s="2943"/>
      <c r="AL305" s="2944"/>
      <c r="AM305" s="2945" t="s">
        <v>614</v>
      </c>
      <c r="AN305" s="2946"/>
      <c r="AO305" s="2947"/>
      <c r="AP305" s="2948"/>
      <c r="AQ305" s="2949"/>
      <c r="AR305" s="2950"/>
      <c r="AS305" s="2951"/>
      <c r="AT305" s="1406"/>
      <c r="AU305" s="2270"/>
      <c r="AV305" s="1658"/>
      <c r="AW305" s="1640"/>
      <c r="AX305" s="1640"/>
      <c r="AY305" s="1640"/>
      <c r="AZ305" s="1640"/>
      <c r="BA305" s="1651">
        <v>0</v>
      </c>
    </row>
    <row s="1866" customFormat="1" customHeight="1" ht="11.25">
      <c r="A306" s="1379"/>
      <c r="B306" s="1379"/>
      <c r="C306" s="1379"/>
      <c r="D306" s="1379"/>
      <c r="E306" s="2275"/>
      <c r="F306" s="2275">
        <v>1</v>
      </c>
      <c r="G306" s="2275"/>
      <c r="H306" s="2275"/>
      <c r="I306" s="2302"/>
      <c r="J306" s="2302"/>
      <c r="K306" s="2272"/>
      <c r="L306" s="1385"/>
      <c r="M306" s="1792"/>
      <c r="N306" s="1792"/>
      <c r="O306" s="1792"/>
      <c r="P306" s="2390"/>
      <c r="Q306" s="2390"/>
      <c r="R306" s="2363"/>
      <c r="S306" s="2358"/>
      <c r="T306" s="2361"/>
      <c r="U306" s="316"/>
      <c r="V306" s="2952"/>
      <c r="W306" s="2953"/>
      <c r="X306" s="2618"/>
      <c r="Y306" s="2123"/>
      <c r="Z306" s="2618"/>
      <c r="AA306" s="2123"/>
      <c r="AB306" s="2123"/>
      <c r="AC306" s="2342"/>
      <c r="AD306" s="2453"/>
      <c r="AE306" s="2364" t="s">
        <v>28</v>
      </c>
      <c r="AF306" s="2123"/>
      <c r="AG306" s="2954"/>
      <c r="AH306" s="2955"/>
      <c r="AI306" s="2956" t="s">
        <v>615</v>
      </c>
      <c r="AJ306" s="2957"/>
      <c r="AK306" s="2958"/>
      <c r="AL306" s="2959"/>
      <c r="AM306" s="2960"/>
      <c r="AN306" s="2961"/>
      <c r="AO306" s="2962"/>
      <c r="AP306" s="2963"/>
      <c r="AQ306" s="2964"/>
      <c r="AR306" s="2965"/>
      <c r="AS306" s="2966"/>
      <c r="AT306" s="1406"/>
      <c r="AU306" s="2270"/>
      <c r="AV306" s="1658"/>
      <c r="AW306" s="1640"/>
      <c r="AX306" s="1640"/>
      <c r="AY306" s="1640"/>
      <c r="AZ306" s="1640"/>
      <c r="BA306" s="1651">
        <v>0</v>
      </c>
    </row>
    <row s="1866" customFormat="1" customHeight="1" ht="11.25">
      <c r="A307" s="1379"/>
      <c r="B307" s="1379"/>
      <c r="C307" s="1379"/>
      <c r="D307" s="1379"/>
      <c r="E307" s="2275"/>
      <c r="F307" s="2275">
        <v>1</v>
      </c>
      <c r="G307" s="2275"/>
      <c r="H307" s="2275"/>
      <c r="I307" s="2302"/>
      <c r="J307" s="2302"/>
      <c r="K307" s="2272"/>
      <c r="L307" s="1385"/>
      <c r="M307" s="1792"/>
      <c r="N307" s="1792"/>
      <c r="O307" s="1792"/>
      <c r="P307" s="2390"/>
      <c r="Q307" s="2390"/>
      <c r="R307" s="2363"/>
      <c r="S307" s="2359"/>
      <c r="T307" s="2362"/>
      <c r="U307" s="316"/>
      <c r="V307" s="2967"/>
      <c r="W307" s="2968" t="str">
        <f>X304&amp;"-"&amp;Z304</f>
        <v>-</v>
      </c>
      <c r="X307" s="2325"/>
      <c r="Y307" s="2123"/>
      <c r="Z307" s="2325"/>
      <c r="AA307" s="2123"/>
      <c r="AB307" s="2123"/>
      <c r="AC307" s="2969"/>
      <c r="AD307" s="2970"/>
      <c r="AE307" s="2971" t="s">
        <v>616</v>
      </c>
      <c r="AF307" s="2972"/>
      <c r="AG307" s="2973"/>
      <c r="AH307" s="2974"/>
      <c r="AI307" s="2975"/>
      <c r="AJ307" s="2976"/>
      <c r="AK307" s="2977"/>
      <c r="AL307" s="2978"/>
      <c r="AM307" s="2979"/>
      <c r="AN307" s="2980"/>
      <c r="AO307" s="2981" t="str">
        <f>AP304&amp;"-"&amp;AR304</f>
        <v>45769-46022</v>
      </c>
      <c r="AP307" s="2982"/>
      <c r="AQ307" s="2983"/>
      <c r="AR307" s="2984"/>
      <c r="AS307" s="2985"/>
      <c r="AT307" s="1365"/>
      <c r="AU307" s="2270"/>
      <c r="AV307" s="1658"/>
      <c r="AW307" s="1640"/>
      <c r="AX307" s="1640" t="str">
        <f>IF(T307="","",T307)</f>
        <v/>
      </c>
      <c r="AY307" s="1640"/>
      <c r="AZ307" s="1640"/>
      <c r="BA307" s="1651">
        <v>0</v>
      </c>
    </row>
    <row s="1866" customFormat="1" customHeight="1" ht="11.25">
      <c r="A308" s="1379"/>
      <c r="B308" s="1379"/>
      <c r="C308" s="1379"/>
      <c r="D308" s="1379"/>
      <c r="E308" s="2275"/>
      <c r="F308" s="2275">
        <v>1</v>
      </c>
      <c r="G308" s="2275"/>
      <c r="H308" s="2275"/>
      <c r="I308" s="2302"/>
      <c r="J308" s="2272"/>
      <c r="K308" s="1379"/>
      <c r="L308" s="1385"/>
      <c r="M308" s="1792"/>
      <c r="N308" s="1792"/>
      <c r="O308" s="1792"/>
      <c r="P308" s="2390"/>
      <c r="Q308" s="2390"/>
      <c r="R308" s="372"/>
      <c r="S308" s="2986"/>
      <c r="T308" s="2987" t="s">
        <v>617</v>
      </c>
      <c r="U308" s="2988"/>
      <c r="V308" s="2989"/>
      <c r="W308" s="2990"/>
      <c r="X308" s="2991"/>
      <c r="Y308" s="2992"/>
      <c r="Z308" s="2993"/>
      <c r="AA308" s="2994"/>
      <c r="AB308" s="2995"/>
      <c r="AC308" s="2996"/>
      <c r="AD308" s="2997"/>
      <c r="AE308" s="2998"/>
      <c r="AF308" s="2999"/>
      <c r="AG308" s="3000"/>
      <c r="AH308" s="3001"/>
      <c r="AI308" s="3002"/>
      <c r="AJ308" s="3003"/>
      <c r="AK308" s="3004"/>
      <c r="AL308" s="3005"/>
      <c r="AM308" s="3006"/>
      <c r="AN308" s="3007"/>
      <c r="AO308" s="3008"/>
      <c r="AP308" s="3009"/>
      <c r="AQ308" s="3010"/>
      <c r="AR308" s="3011"/>
      <c r="AS308" s="3012"/>
      <c r="AT308" s="3013"/>
      <c r="AU308" s="2271"/>
      <c r="AV308" s="1658"/>
      <c r="AW308" s="1640"/>
      <c r="AX308" s="1640" t="str">
        <f>IF(T308="","",T308)</f>
        <v>Добавить строку</v>
      </c>
      <c r="AY308" s="1640"/>
      <c r="AZ308" s="1640"/>
      <c r="BA308" s="1651">
        <v>0</v>
      </c>
    </row>
    <row s="638" customFormat="1" customHeight="1" ht="0.75">
      <c r="A309" s="1359"/>
      <c r="B309" s="1359"/>
      <c r="C309" s="1359"/>
      <c r="D309" s="1359"/>
      <c r="E309" s="2275"/>
      <c r="F309" s="2275">
        <v>1</v>
      </c>
      <c r="G309" s="2275"/>
      <c r="H309" s="2275"/>
      <c r="I309" s="2272"/>
      <c r="J309" s="1359"/>
      <c r="K309" s="1359"/>
      <c r="L309" s="1561"/>
      <c r="M309" s="526"/>
      <c r="N309" s="526"/>
      <c r="O309" s="526"/>
      <c r="P309" s="2390"/>
      <c r="Q309" s="2390"/>
      <c r="R309" s="372"/>
      <c r="S309" s="1402"/>
      <c r="T309" s="1403"/>
      <c r="U309" s="1404"/>
      <c r="V309" s="1404"/>
      <c r="W309" s="1404"/>
      <c r="X309" s="1404"/>
      <c r="Y309" s="1404"/>
      <c r="Z309" s="1404"/>
      <c r="AA309" s="1404"/>
      <c r="AB309" s="1404"/>
      <c r="AC309" s="1404"/>
      <c r="AD309" s="1404"/>
      <c r="AE309" s="1404"/>
      <c r="AF309" s="1404"/>
      <c r="AG309" s="1404"/>
      <c r="AH309" s="1404"/>
      <c r="AI309" s="1404"/>
      <c r="AJ309" s="1404"/>
      <c r="AK309" s="1404"/>
      <c r="AL309" s="1404"/>
      <c r="AM309" s="1404"/>
      <c r="AN309" s="1404"/>
      <c r="AO309" s="1404"/>
      <c r="AP309" s="1404"/>
      <c r="AQ309" s="1404"/>
      <c r="AR309" s="1404"/>
      <c r="AS309" s="1404"/>
      <c r="AT309" s="1404"/>
      <c r="AU309" s="1405"/>
      <c r="AV309" s="1658"/>
      <c r="AW309" s="1640"/>
      <c r="AX309" s="1640" t="str">
        <f>IF(T309="","",T309)</f>
        <v/>
      </c>
      <c r="AY309" s="1640"/>
      <c r="AZ309" s="1640"/>
      <c r="BA309" s="1658">
        <v>0</v>
      </c>
    </row>
    <row s="638" customFormat="1" customHeight="1" ht="0.75">
      <c r="A310" s="1359"/>
      <c r="B310" s="1359"/>
      <c r="C310" s="1359"/>
      <c r="D310" s="1359"/>
      <c r="E310" s="2275"/>
      <c r="F310" s="2275">
        <v>1</v>
      </c>
      <c r="G310" s="2275"/>
      <c r="H310" s="2274"/>
      <c r="I310" s="1359"/>
      <c r="J310" s="1359"/>
      <c r="K310" s="1359"/>
      <c r="L310" s="1561"/>
      <c r="M310" s="1331"/>
      <c r="N310" s="1331"/>
      <c r="O310" s="1658"/>
      <c r="P310" s="1332"/>
      <c r="Q310" s="1360"/>
      <c r="R310" s="1417"/>
      <c r="S310" s="1402"/>
      <c r="T310" s="1403"/>
      <c r="U310" s="1404"/>
      <c r="V310" s="1404"/>
      <c r="W310" s="1404"/>
      <c r="X310" s="1404"/>
      <c r="Y310" s="1404"/>
      <c r="Z310" s="1404"/>
      <c r="AA310" s="1404"/>
      <c r="AB310" s="1404"/>
      <c r="AC310" s="1404"/>
      <c r="AD310" s="1404"/>
      <c r="AE310" s="1404"/>
      <c r="AF310" s="1404"/>
      <c r="AG310" s="1404"/>
      <c r="AH310" s="1404"/>
      <c r="AI310" s="1404"/>
      <c r="AJ310" s="1404"/>
      <c r="AK310" s="1404"/>
      <c r="AL310" s="1404"/>
      <c r="AM310" s="1404"/>
      <c r="AN310" s="1404"/>
      <c r="AO310" s="1404"/>
      <c r="AP310" s="1404"/>
      <c r="AQ310" s="1404"/>
      <c r="AR310" s="1404"/>
      <c r="AS310" s="1404"/>
      <c r="AT310" s="1404"/>
      <c r="AU310" s="1405"/>
      <c r="AV310" s="1658"/>
      <c r="AW310" s="1640"/>
      <c r="AX310" s="1640" t="str">
        <f>IF(T310="","",T310)</f>
        <v/>
      </c>
      <c r="AY310" s="1640"/>
      <c r="AZ310" s="1640"/>
      <c r="BA310" s="1658">
        <v>0</v>
      </c>
    </row>
    <row s="638" customFormat="1" customHeight="1" ht="0.75">
      <c r="A311" s="1359"/>
      <c r="B311" s="1359"/>
      <c r="C311" s="1359"/>
      <c r="D311" s="1359"/>
      <c r="E311" s="2275"/>
      <c r="F311" s="2275">
        <v>1</v>
      </c>
      <c r="G311" s="2274"/>
      <c r="H311" s="1359"/>
      <c r="I311" s="1359"/>
      <c r="J311" s="1359"/>
      <c r="K311" s="1359"/>
      <c r="L311" s="1561"/>
      <c r="M311" s="1331"/>
      <c r="N311" s="1331"/>
      <c r="O311" s="1658"/>
      <c r="P311" s="1332"/>
      <c r="Q311" s="1360"/>
      <c r="R311" s="1332"/>
      <c r="S311" s="1338"/>
      <c r="T311" s="1341" t="s">
        <v>268</v>
      </c>
      <c r="U311" s="1340"/>
      <c r="V311" s="1340"/>
      <c r="W311" s="1340"/>
      <c r="X311" s="1340"/>
      <c r="Y311" s="1340"/>
      <c r="Z311" s="1340"/>
      <c r="AA311" s="1340"/>
      <c r="AB311" s="1340"/>
      <c r="AC311" s="1340"/>
      <c r="AD311" s="1340"/>
      <c r="AE311" s="1340"/>
      <c r="AF311" s="1340"/>
      <c r="AG311" s="1340"/>
      <c r="AH311" s="1340"/>
      <c r="AI311" s="1340"/>
      <c r="AJ311" s="1340"/>
      <c r="AK311" s="1340"/>
      <c r="AL311" s="1340"/>
      <c r="AM311" s="1340"/>
      <c r="AN311" s="1340"/>
      <c r="AO311" s="1340"/>
      <c r="AP311" s="1340"/>
      <c r="AQ311" s="1340"/>
      <c r="AR311" s="1340"/>
      <c r="AS311" s="1340"/>
      <c r="AT311" s="1340"/>
      <c r="AU311" s="1340"/>
      <c r="AV311" s="1658"/>
      <c r="AW311" s="1640"/>
      <c r="AX311" s="1640" t="str">
        <f>IF(T311="","",T311)</f>
        <v>Добавить источник для дифференциации</v>
      </c>
      <c r="AY311" s="1640"/>
      <c r="AZ311" s="1640"/>
      <c r="BA311" s="1658">
        <v>0</v>
      </c>
    </row>
    <row s="638" customFormat="1" customHeight="1" ht="0.75">
      <c r="A312" s="1359"/>
      <c r="B312" s="1359"/>
      <c r="C312" s="1359"/>
      <c r="D312" s="1359"/>
      <c r="E312" s="2275"/>
      <c r="F312" s="2274">
        <v>1</v>
      </c>
      <c r="G312" s="1359"/>
      <c r="H312" s="1359"/>
      <c r="I312" s="1359"/>
      <c r="J312" s="1359"/>
      <c r="K312" s="1359"/>
      <c r="L312" s="1561"/>
      <c r="M312" s="1337"/>
      <c r="N312" s="1337"/>
      <c r="O312" s="1658"/>
      <c r="P312" s="1332"/>
      <c r="Q312" s="1360"/>
      <c r="R312" s="1332"/>
      <c r="S312" s="1338"/>
      <c r="T312" s="1341" t="s">
        <v>269</v>
      </c>
      <c r="U312" s="1340"/>
      <c r="V312" s="1340"/>
      <c r="W312" s="1340"/>
      <c r="X312" s="1340"/>
      <c r="Y312" s="1340"/>
      <c r="Z312" s="1340"/>
      <c r="AA312" s="1340"/>
      <c r="AB312" s="1340"/>
      <c r="AC312" s="1340"/>
      <c r="AD312" s="1340"/>
      <c r="AE312" s="1340"/>
      <c r="AF312" s="1340"/>
      <c r="AG312" s="1340"/>
      <c r="AH312" s="1340"/>
      <c r="AI312" s="1340"/>
      <c r="AJ312" s="1340"/>
      <c r="AK312" s="1340"/>
      <c r="AL312" s="1340"/>
      <c r="AM312" s="1340"/>
      <c r="AN312" s="1340"/>
      <c r="AO312" s="1340"/>
      <c r="AP312" s="1340"/>
      <c r="AQ312" s="1340"/>
      <c r="AR312" s="1340"/>
      <c r="AS312" s="1340"/>
      <c r="AT312" s="1340"/>
      <c r="AU312" s="1340"/>
      <c r="AV312" s="1658"/>
      <c r="AW312" s="1640"/>
      <c r="AX312" s="1640" t="str">
        <f>IF(T312="","",T312)</f>
        <v>Добавить централизованную систему для дифференциации</v>
      </c>
      <c r="AY312" s="1640"/>
      <c r="AZ312" s="1640"/>
      <c r="BA312" s="1658">
        <v>0</v>
      </c>
    </row>
    <row s="1866" customFormat="1" customHeight="1" ht="21">
      <c r="A313" s="1379"/>
      <c r="B313" s="1379" t="s">
        <v>340</v>
      </c>
      <c r="C313" s="1379"/>
      <c r="D313" s="1379"/>
      <c r="E313" s="2275"/>
      <c r="F313" s="2274" t="s">
        <v>93</v>
      </c>
      <c r="G313" s="1379"/>
      <c r="H313" s="1379"/>
      <c r="I313" s="1379"/>
      <c r="J313" s="1379"/>
      <c r="K313" s="1379"/>
      <c r="L313" s="1385"/>
      <c r="M313" s="1381"/>
      <c r="N313" s="1381"/>
      <c r="O313" s="1381"/>
      <c r="P313" s="2623"/>
      <c r="Q313" s="1427"/>
      <c r="R313" s="369"/>
      <c r="S313" s="2289" t="str">
        <f>INDEX(PT_DIFFERENTIATION_NUM_TER,MATCH(B313,PT_DIFFERENTIATION_TER_ID,0))</f>
        <v>2.3</v>
      </c>
      <c r="T313" s="1538" t="s">
        <v>550</v>
      </c>
      <c r="U313" s="316"/>
      <c r="V313" s="2259"/>
      <c r="W313" s="2259"/>
      <c r="X313" s="2259"/>
      <c r="Y313" s="2259"/>
      <c r="Z313" s="2259"/>
      <c r="AA313" s="2260"/>
      <c r="AB313" s="2258" t="str">
        <f>INDEX(PT_DIFFERENTIATION_TER,MATCH(B313,PT_DIFFERENTIATION_TER_ID,0))</f>
        <v>Территория 4</v>
      </c>
      <c r="AC313" s="2259"/>
      <c r="AD313" s="2259"/>
      <c r="AE313" s="2259"/>
      <c r="AF313" s="2259"/>
      <c r="AG313" s="2259"/>
      <c r="AH313" s="2259"/>
      <c r="AI313" s="2259"/>
      <c r="AJ313" s="2259"/>
      <c r="AK313" s="2259"/>
      <c r="AL313" s="2259"/>
      <c r="AM313" s="2259"/>
      <c r="AN313" s="2259"/>
      <c r="AO313" s="2259"/>
      <c r="AP313" s="2259"/>
      <c r="AQ313" s="2259"/>
      <c r="AR313" s="2259"/>
      <c r="AS313" s="2259"/>
      <c r="AT313" s="2260"/>
      <c r="AU313" s="1274" t="s">
        <v>551</v>
      </c>
      <c r="AV313" s="1658"/>
      <c r="AW313" s="1640"/>
      <c r="AX313" s="1640" t="str">
        <f>IF(T313="","",T313)</f>
        <v>Территория действия тарифа</v>
      </c>
      <c r="AY313" s="1640"/>
      <c r="AZ313" s="1640"/>
      <c r="BA313" s="1651">
        <v>0</v>
      </c>
    </row>
    <row s="1866" customFormat="1" customHeight="1" ht="22.5">
      <c r="A314" s="1379"/>
      <c r="B314" s="1379"/>
      <c r="C314" s="1379" t="s">
        <v>341</v>
      </c>
      <c r="D314" s="1379"/>
      <c r="E314" s="2275"/>
      <c r="F314" s="2275" t="s">
        <v>107</v>
      </c>
      <c r="G314" s="2274">
        <v>1</v>
      </c>
      <c r="H314" s="1379"/>
      <c r="I314" s="1379"/>
      <c r="J314" s="1379"/>
      <c r="K314" s="1379"/>
      <c r="L314" s="1385"/>
      <c r="M314" s="1381"/>
      <c r="N314" s="1381"/>
      <c r="O314" s="1381"/>
      <c r="P314" s="1428"/>
      <c r="Q314" s="1427"/>
      <c r="R314" s="369"/>
      <c r="S314" s="2289" t="str">
        <f>INDEX(PT_DIFFERENTIATION_NUM_CS,MATCH(C314,PT_DIFFERENTIATION_CS_ID,0))</f>
        <v>2.3.1</v>
      </c>
      <c r="T314" s="325" t="s">
        <v>552</v>
      </c>
      <c r="U314" s="316"/>
      <c r="V314" s="2259"/>
      <c r="W314" s="2259"/>
      <c r="X314" s="2259"/>
      <c r="Y314" s="2259"/>
      <c r="Z314" s="2259"/>
      <c r="AA314" s="2260"/>
      <c r="AB314" s="2258" t="str">
        <f>INDEX(PT_DIFFERENTIATION_CS,MATCH(C314,PT_DIFFERENTIATION_CS_ID,0))</f>
        <v>Рощинское сельское поселение с. Рощино</v>
      </c>
      <c r="AC314" s="2259"/>
      <c r="AD314" s="2259"/>
      <c r="AE314" s="2259"/>
      <c r="AF314" s="2259"/>
      <c r="AG314" s="2259"/>
      <c r="AH314" s="2259"/>
      <c r="AI314" s="2259"/>
      <c r="AJ314" s="2259"/>
      <c r="AK314" s="2259"/>
      <c r="AL314" s="2259"/>
      <c r="AM314" s="2259"/>
      <c r="AN314" s="2259"/>
      <c r="AO314" s="2259"/>
      <c r="AP314" s="2259"/>
      <c r="AQ314" s="2259"/>
      <c r="AR314" s="2259"/>
      <c r="AS314" s="2259"/>
      <c r="AT314" s="2260"/>
      <c r="AU314" s="1274" t="s">
        <v>553</v>
      </c>
      <c r="AV314" s="1658"/>
      <c r="AW314" s="1640"/>
      <c r="AX314" s="1640" t="str">
        <f>IF(T314="","",T314)</f>
        <v>Наименование системы теплоснабжения </v>
      </c>
      <c r="AY314" s="1640"/>
      <c r="AZ314" s="1640"/>
      <c r="BA314" s="1651">
        <v>0</v>
      </c>
    </row>
    <row s="1866" customFormat="1" customHeight="1" ht="21">
      <c r="A315" s="1379"/>
      <c r="B315" s="1379"/>
      <c r="C315" s="1379"/>
      <c r="D315" s="1379" t="s">
        <v>342</v>
      </c>
      <c r="E315" s="2275"/>
      <c r="F315" s="2275" t="s">
        <v>107</v>
      </c>
      <c r="G315" s="2275"/>
      <c r="H315" s="2274">
        <v>1</v>
      </c>
      <c r="I315" s="1379"/>
      <c r="J315" s="1379"/>
      <c r="K315" s="1379"/>
      <c r="L315" s="1385"/>
      <c r="M315" s="1381"/>
      <c r="N315" s="1381"/>
      <c r="O315" s="1381"/>
      <c r="P315" s="1428"/>
      <c r="Q315" s="1427"/>
      <c r="R315" s="369"/>
      <c r="S315" s="2289" t="str">
        <f>INDEX(PT_DIFFERENTIATION_NUM_IST_TE,MATCH(D315,PT_DIFFERENTIATION_IST_TE_ID,0))</f>
        <v>2.3.1.1</v>
      </c>
      <c r="T315" s="326" t="s">
        <v>554</v>
      </c>
      <c r="U315" s="316"/>
      <c r="V315" s="2259"/>
      <c r="W315" s="2259"/>
      <c r="X315" s="2259"/>
      <c r="Y315" s="2259"/>
      <c r="Z315" s="2259"/>
      <c r="AA315" s="2260"/>
      <c r="AB315" s="2258" t="str">
        <f>INDEX(PT_DIFFERENTIATION_IST_TE,MATCH(D315,PT_DIFFERENTIATION_IST_TE_ID,0))</f>
        <v>без дифференциации</v>
      </c>
      <c r="AC315" s="2259"/>
      <c r="AD315" s="2259"/>
      <c r="AE315" s="2259"/>
      <c r="AF315" s="2259"/>
      <c r="AG315" s="2259"/>
      <c r="AH315" s="2259"/>
      <c r="AI315" s="2259"/>
      <c r="AJ315" s="2259"/>
      <c r="AK315" s="2259"/>
      <c r="AL315" s="2259"/>
      <c r="AM315" s="2259"/>
      <c r="AN315" s="2259"/>
      <c r="AO315" s="2259"/>
      <c r="AP315" s="2259"/>
      <c r="AQ315" s="2259"/>
      <c r="AR315" s="2259"/>
      <c r="AS315" s="2259"/>
      <c r="AT315" s="2260"/>
      <c r="AU315" s="1274" t="s">
        <v>555</v>
      </c>
      <c r="AV315" s="1658"/>
      <c r="AW315" s="1640"/>
      <c r="AX315" s="1640" t="str">
        <f>IF(T315="","",T315)</f>
        <v>Источник тепловой энергии  </v>
      </c>
      <c r="AY315" s="1640"/>
      <c r="AZ315" s="1640"/>
      <c r="BA315" s="1651">
        <v>0</v>
      </c>
    </row>
    <row s="638" customFormat="1" customHeight="1" ht="0.75">
      <c r="A316" s="1359"/>
      <c r="B316" s="1359"/>
      <c r="C316" s="1359"/>
      <c r="D316" s="1359"/>
      <c r="E316" s="2275"/>
      <c r="F316" s="2275" t="s">
        <v>107</v>
      </c>
      <c r="G316" s="2275"/>
      <c r="H316" s="2275"/>
      <c r="I316" s="2272" t="str">
        <f>S315&amp;".1"</f>
        <v>2.3.1.1.1</v>
      </c>
      <c r="J316" s="1359"/>
      <c r="K316" s="1359"/>
      <c r="L316" s="1561" t="s">
        <v>556</v>
      </c>
      <c r="M316" s="526"/>
      <c r="N316" s="526"/>
      <c r="O316" s="526"/>
      <c r="P316" s="2390">
        <v>1</v>
      </c>
      <c r="Q316" s="2390"/>
      <c r="R316" s="372"/>
      <c r="S316" s="2320"/>
      <c r="T316" s="1399"/>
      <c r="U316" s="1400"/>
      <c r="V316" s="2313"/>
      <c r="W316" s="2313"/>
      <c r="X316" s="2313"/>
      <c r="Y316" s="2313"/>
      <c r="Z316" s="2313"/>
      <c r="AA316" s="2314"/>
      <c r="AB316" s="2312"/>
      <c r="AC316" s="2313"/>
      <c r="AD316" s="2313"/>
      <c r="AE316" s="2313"/>
      <c r="AF316" s="2313"/>
      <c r="AG316" s="2313"/>
      <c r="AH316" s="2313"/>
      <c r="AI316" s="2313"/>
      <c r="AJ316" s="2313"/>
      <c r="AK316" s="2313"/>
      <c r="AL316" s="2313"/>
      <c r="AM316" s="2313"/>
      <c r="AN316" s="2313"/>
      <c r="AO316" s="2313"/>
      <c r="AP316" s="2313"/>
      <c r="AQ316" s="2313"/>
      <c r="AR316" s="2313"/>
      <c r="AS316" s="2313"/>
      <c r="AT316" s="2314"/>
      <c r="AU316" s="1401"/>
      <c r="AV316" s="1658"/>
      <c r="AW316" s="1640"/>
      <c r="AX316" s="1640" t="str">
        <f>IF(T316="","",T316)</f>
        <v/>
      </c>
      <c r="AY316" s="1640"/>
      <c r="AZ316" s="1640"/>
      <c r="BA316" s="1658">
        <v>0</v>
      </c>
    </row>
    <row s="638" customFormat="1" customHeight="1" ht="0.75">
      <c r="A317" s="1359"/>
      <c r="B317" s="1359"/>
      <c r="C317" s="1359"/>
      <c r="D317" s="1359"/>
      <c r="E317" s="2275"/>
      <c r="F317" s="2275" t="s">
        <v>107</v>
      </c>
      <c r="G317" s="2275"/>
      <c r="H317" s="2275"/>
      <c r="I317" s="2302"/>
      <c r="J317" s="2272" t="str">
        <f>S315&amp;".1"</f>
        <v>2.3.1.1.1</v>
      </c>
      <c r="K317" s="1359"/>
      <c r="L317" s="1561"/>
      <c r="M317" s="526"/>
      <c r="N317" s="526"/>
      <c r="O317" s="526"/>
      <c r="P317" s="2390"/>
      <c r="Q317" s="2390">
        <v>1</v>
      </c>
      <c r="R317" s="373"/>
      <c r="S317" s="2320"/>
      <c r="T317" s="1415"/>
      <c r="U317" s="1400"/>
      <c r="V317" s="2313"/>
      <c r="W317" s="2313"/>
      <c r="X317" s="2313"/>
      <c r="Y317" s="2313"/>
      <c r="Z317" s="2313"/>
      <c r="AA317" s="2314"/>
      <c r="AB317" s="2312"/>
      <c r="AC317" s="2313"/>
      <c r="AD317" s="2313"/>
      <c r="AE317" s="2313"/>
      <c r="AF317" s="2313"/>
      <c r="AG317" s="2313"/>
      <c r="AH317" s="2313"/>
      <c r="AI317" s="2313"/>
      <c r="AJ317" s="2313"/>
      <c r="AK317" s="2313"/>
      <c r="AL317" s="2313"/>
      <c r="AM317" s="2313"/>
      <c r="AN317" s="2313"/>
      <c r="AO317" s="2313"/>
      <c r="AP317" s="2313"/>
      <c r="AQ317" s="2313"/>
      <c r="AR317" s="2313"/>
      <c r="AS317" s="2313"/>
      <c r="AT317" s="2314"/>
      <c r="AU317" s="1401"/>
      <c r="AV317" s="1658"/>
      <c r="AW317" s="1640"/>
      <c r="AX317" s="1640" t="str">
        <f>IF(T317="","",T317)</f>
        <v/>
      </c>
      <c r="AY317" s="1640"/>
      <c r="AZ317" s="1640"/>
      <c r="BA317" s="1658">
        <v>0</v>
      </c>
    </row>
    <row s="1866" customFormat="1" customHeight="1" ht="21">
      <c r="A318" s="1379"/>
      <c r="B318" s="1379"/>
      <c r="C318" s="1379"/>
      <c r="D318" s="1379"/>
      <c r="E318" s="2275"/>
      <c r="F318" s="2275" t="s">
        <v>107</v>
      </c>
      <c r="G318" s="2275"/>
      <c r="H318" s="2275"/>
      <c r="I318" s="2302"/>
      <c r="J318" s="2302"/>
      <c r="K318" s="2272" t="str">
        <f>S315&amp;".1"</f>
        <v>2.3.1.1.1</v>
      </c>
      <c r="L318" s="1385"/>
      <c r="M318" s="1792"/>
      <c r="N318" s="1792"/>
      <c r="O318" s="1792"/>
      <c r="P318" s="2390"/>
      <c r="Q318" s="2390"/>
      <c r="R318" s="2363">
        <v>1</v>
      </c>
      <c r="S318" s="2357" t="str">
        <f>$K318</f>
        <v>2.3.1.1.1</v>
      </c>
      <c r="T318" s="2360" t="s">
        <v>630</v>
      </c>
      <c r="U318" s="316"/>
      <c r="V318" s="767"/>
      <c r="W318" s="1273"/>
      <c r="X318" s="2618"/>
      <c r="Y318" s="2123" t="s">
        <v>64</v>
      </c>
      <c r="Z318" s="2618"/>
      <c r="AA318" s="2123" t="s">
        <v>64</v>
      </c>
      <c r="AB318" s="2123" t="s">
        <v>19</v>
      </c>
      <c r="AC318" s="2342"/>
      <c r="AD318" s="2453">
        <v>1</v>
      </c>
      <c r="AE318" s="2364" t="s">
        <v>28</v>
      </c>
      <c r="AF318" s="2123" t="s">
        <v>19</v>
      </c>
      <c r="AG318" s="2342"/>
      <c r="AH318" s="2453">
        <v>1</v>
      </c>
      <c r="AI318" s="2343" t="s">
        <v>632</v>
      </c>
      <c r="AJ318" s="2123" t="s">
        <v>19</v>
      </c>
      <c r="AK318" s="327"/>
      <c r="AL318" s="2453">
        <v>1</v>
      </c>
      <c r="AM318" s="2578" t="s">
        <v>633</v>
      </c>
      <c r="AN318" s="767"/>
      <c r="AO318" s="1273">
        <v>102934.365</v>
      </c>
      <c r="AP318" s="2618">
        <v>45783.516550925924</v>
      </c>
      <c r="AQ318" s="2123" t="s">
        <v>64</v>
      </c>
      <c r="AR318" s="2618">
        <v>46022.51658564815</v>
      </c>
      <c r="AS318" s="2123" t="s">
        <v>64</v>
      </c>
      <c r="AT318" s="1364"/>
      <c r="AU318" s="2269" t="s">
        <v>613</v>
      </c>
      <c r="AV318" s="1658">
        <f>STRCHECKDATE(V321:AT321)</f>
      </c>
      <c r="AW318" s="1640"/>
      <c r="AX318" s="1640" t="str">
        <f>IF(T318="","",T318)</f>
        <v>Котельная</v>
      </c>
      <c r="AY318" s="1640"/>
      <c r="AZ318" s="1640"/>
      <c r="BA318" s="1651">
        <v>0</v>
      </c>
    </row>
    <row s="1866" customFormat="1" customHeight="1" ht="11.25">
      <c r="A319" s="1379"/>
      <c r="B319" s="1379"/>
      <c r="C319" s="1379"/>
      <c r="D319" s="1379"/>
      <c r="E319" s="2275"/>
      <c r="F319" s="2275" t="s">
        <v>107</v>
      </c>
      <c r="G319" s="2275"/>
      <c r="H319" s="2275"/>
      <c r="I319" s="2302"/>
      <c r="J319" s="2302"/>
      <c r="K319" s="2272"/>
      <c r="L319" s="1385"/>
      <c r="M319" s="1792"/>
      <c r="N319" s="1792"/>
      <c r="O319" s="1792"/>
      <c r="P319" s="2390"/>
      <c r="Q319" s="2390"/>
      <c r="R319" s="2363"/>
      <c r="S319" s="2358"/>
      <c r="T319" s="2361"/>
      <c r="U319" s="316"/>
      <c r="V319" s="3090"/>
      <c r="W319" s="3091"/>
      <c r="X319" s="2618"/>
      <c r="Y319" s="2123"/>
      <c r="Z319" s="2618"/>
      <c r="AA319" s="2123"/>
      <c r="AB319" s="2123"/>
      <c r="AC319" s="2342"/>
      <c r="AD319" s="2453"/>
      <c r="AE319" s="2364" t="s">
        <v>28</v>
      </c>
      <c r="AF319" s="2123"/>
      <c r="AG319" s="2342"/>
      <c r="AH319" s="2453"/>
      <c r="AI319" s="2343"/>
      <c r="AJ319" s="2123"/>
      <c r="AK319" s="3092"/>
      <c r="AL319" s="3093"/>
      <c r="AM319" s="3094" t="s">
        <v>614</v>
      </c>
      <c r="AN319" s="3095"/>
      <c r="AO319" s="3096"/>
      <c r="AP319" s="3097"/>
      <c r="AQ319" s="3098"/>
      <c r="AR319" s="3099"/>
      <c r="AS319" s="3100"/>
      <c r="AT319" s="1406"/>
      <c r="AU319" s="2270"/>
      <c r="AV319" s="1658"/>
      <c r="AW319" s="1640"/>
      <c r="AX319" s="1640"/>
      <c r="AY319" s="1640"/>
      <c r="AZ319" s="1640"/>
      <c r="BA319" s="1651">
        <v>0</v>
      </c>
    </row>
    <row s="1866" customFormat="1" customHeight="1" ht="11.25">
      <c r="A320" s="1379"/>
      <c r="B320" s="1379"/>
      <c r="C320" s="1379"/>
      <c r="D320" s="1379"/>
      <c r="E320" s="2275"/>
      <c r="F320" s="2275" t="s">
        <v>107</v>
      </c>
      <c r="G320" s="2275"/>
      <c r="H320" s="2275"/>
      <c r="I320" s="2302"/>
      <c r="J320" s="2302"/>
      <c r="K320" s="2272"/>
      <c r="L320" s="1385"/>
      <c r="M320" s="1792"/>
      <c r="N320" s="1792"/>
      <c r="O320" s="1792"/>
      <c r="P320" s="2390"/>
      <c r="Q320" s="2390"/>
      <c r="R320" s="2363"/>
      <c r="S320" s="2358"/>
      <c r="T320" s="2361"/>
      <c r="U320" s="316"/>
      <c r="V320" s="3101"/>
      <c r="W320" s="3102"/>
      <c r="X320" s="2618"/>
      <c r="Y320" s="2123"/>
      <c r="Z320" s="2618"/>
      <c r="AA320" s="2123"/>
      <c r="AB320" s="2123"/>
      <c r="AC320" s="2342"/>
      <c r="AD320" s="2453"/>
      <c r="AE320" s="2364" t="s">
        <v>28</v>
      </c>
      <c r="AF320" s="2123"/>
      <c r="AG320" s="3103"/>
      <c r="AH320" s="3104"/>
      <c r="AI320" s="3105" t="s">
        <v>615</v>
      </c>
      <c r="AJ320" s="3106"/>
      <c r="AK320" s="3107"/>
      <c r="AL320" s="3108"/>
      <c r="AM320" s="3109"/>
      <c r="AN320" s="3110"/>
      <c r="AO320" s="3111"/>
      <c r="AP320" s="3112"/>
      <c r="AQ320" s="3113"/>
      <c r="AR320" s="3114"/>
      <c r="AS320" s="3115"/>
      <c r="AT320" s="1406"/>
      <c r="AU320" s="2270"/>
      <c r="AV320" s="1658"/>
      <c r="AW320" s="1640"/>
      <c r="AX320" s="1640"/>
      <c r="AY320" s="1640"/>
      <c r="AZ320" s="1640"/>
      <c r="BA320" s="1651">
        <v>0</v>
      </c>
    </row>
    <row s="1866" customFormat="1" customHeight="1" ht="11.25">
      <c r="A321" s="1379"/>
      <c r="B321" s="1379"/>
      <c r="C321" s="1379"/>
      <c r="D321" s="1379"/>
      <c r="E321" s="2275"/>
      <c r="F321" s="2275" t="s">
        <v>107</v>
      </c>
      <c r="G321" s="2275"/>
      <c r="H321" s="2275"/>
      <c r="I321" s="2302"/>
      <c r="J321" s="2302"/>
      <c r="K321" s="2272"/>
      <c r="L321" s="1385"/>
      <c r="M321" s="1792"/>
      <c r="N321" s="1792"/>
      <c r="O321" s="1792"/>
      <c r="P321" s="2390"/>
      <c r="Q321" s="2390"/>
      <c r="R321" s="2363"/>
      <c r="S321" s="2359"/>
      <c r="T321" s="2362"/>
      <c r="U321" s="316"/>
      <c r="V321" s="3116"/>
      <c r="W321" s="3117" t="str">
        <f>X318&amp;"-"&amp;Z318</f>
        <v>-</v>
      </c>
      <c r="X321" s="2325"/>
      <c r="Y321" s="2123"/>
      <c r="Z321" s="2325"/>
      <c r="AA321" s="2123"/>
      <c r="AB321" s="2123"/>
      <c r="AC321" s="3118"/>
      <c r="AD321" s="3119"/>
      <c r="AE321" s="3120" t="s">
        <v>616</v>
      </c>
      <c r="AF321" s="3121"/>
      <c r="AG321" s="3122"/>
      <c r="AH321" s="3123"/>
      <c r="AI321" s="3124"/>
      <c r="AJ321" s="3125"/>
      <c r="AK321" s="3126"/>
      <c r="AL321" s="3127"/>
      <c r="AM321" s="3128"/>
      <c r="AN321" s="3129"/>
      <c r="AO321" s="3130" t="str">
        <f>AP318&amp;"-"&amp;AR318</f>
        <v>45783.516550925924-46022.51658564815</v>
      </c>
      <c r="AP321" s="3131"/>
      <c r="AQ321" s="3132"/>
      <c r="AR321" s="3133"/>
      <c r="AS321" s="3134"/>
      <c r="AT321" s="1365"/>
      <c r="AU321" s="2270"/>
      <c r="AV321" s="1658"/>
      <c r="AW321" s="1640"/>
      <c r="AX321" s="1640" t="str">
        <f>IF(T321="","",T321)</f>
        <v/>
      </c>
      <c r="AY321" s="1640"/>
      <c r="AZ321" s="1640"/>
      <c r="BA321" s="1651">
        <v>0</v>
      </c>
    </row>
    <row s="1866" customFormat="1" customHeight="1" ht="11.25">
      <c r="A322" s="1379"/>
      <c r="B322" s="1379"/>
      <c r="C322" s="1379"/>
      <c r="D322" s="1379"/>
      <c r="E322" s="2275"/>
      <c r="F322" s="2275" t="s">
        <v>107</v>
      </c>
      <c r="G322" s="2275"/>
      <c r="H322" s="2275"/>
      <c r="I322" s="2302"/>
      <c r="J322" s="2272"/>
      <c r="K322" s="1379"/>
      <c r="L322" s="1385"/>
      <c r="M322" s="1792"/>
      <c r="N322" s="1792"/>
      <c r="O322" s="1792"/>
      <c r="P322" s="2390"/>
      <c r="Q322" s="2390"/>
      <c r="R322" s="372"/>
      <c r="S322" s="3135"/>
      <c r="T322" s="3136" t="s">
        <v>617</v>
      </c>
      <c r="U322" s="3137"/>
      <c r="V322" s="3138"/>
      <c r="W322" s="3139"/>
      <c r="X322" s="3140"/>
      <c r="Y322" s="3141"/>
      <c r="Z322" s="3142"/>
      <c r="AA322" s="3143"/>
      <c r="AB322" s="3144"/>
      <c r="AC322" s="3145"/>
      <c r="AD322" s="3146"/>
      <c r="AE322" s="3147"/>
      <c r="AF322" s="3148"/>
      <c r="AG322" s="3149"/>
      <c r="AH322" s="3150"/>
      <c r="AI322" s="3151"/>
      <c r="AJ322" s="3152"/>
      <c r="AK322" s="3153"/>
      <c r="AL322" s="3154"/>
      <c r="AM322" s="3155"/>
      <c r="AN322" s="3156"/>
      <c r="AO322" s="3157"/>
      <c r="AP322" s="3158"/>
      <c r="AQ322" s="3159"/>
      <c r="AR322" s="3160"/>
      <c r="AS322" s="3161"/>
      <c r="AT322" s="3162"/>
      <c r="AU322" s="2271"/>
      <c r="AV322" s="1658"/>
      <c r="AW322" s="1640"/>
      <c r="AX322" s="1640" t="str">
        <f>IF(T322="","",T322)</f>
        <v>Добавить строку</v>
      </c>
      <c r="AY322" s="1640"/>
      <c r="AZ322" s="1640"/>
      <c r="BA322" s="1651">
        <v>0</v>
      </c>
    </row>
    <row s="638" customFormat="1" customHeight="1" ht="0.75">
      <c r="A323" s="1359"/>
      <c r="B323" s="1359"/>
      <c r="C323" s="1359"/>
      <c r="D323" s="1359"/>
      <c r="E323" s="2275"/>
      <c r="F323" s="2275" t="s">
        <v>107</v>
      </c>
      <c r="G323" s="2275"/>
      <c r="H323" s="2275"/>
      <c r="I323" s="2272"/>
      <c r="J323" s="1359"/>
      <c r="K323" s="1359"/>
      <c r="L323" s="1561"/>
      <c r="M323" s="526"/>
      <c r="N323" s="526"/>
      <c r="O323" s="526"/>
      <c r="P323" s="2390"/>
      <c r="Q323" s="2390"/>
      <c r="R323" s="372"/>
      <c r="S323" s="1402"/>
      <c r="T323" s="1403"/>
      <c r="U323" s="1404"/>
      <c r="V323" s="1404"/>
      <c r="W323" s="1404"/>
      <c r="X323" s="1404"/>
      <c r="Y323" s="1404"/>
      <c r="Z323" s="1404"/>
      <c r="AA323" s="1404"/>
      <c r="AB323" s="1404"/>
      <c r="AC323" s="1404"/>
      <c r="AD323" s="1404"/>
      <c r="AE323" s="1404"/>
      <c r="AF323" s="1404"/>
      <c r="AG323" s="1404"/>
      <c r="AH323" s="1404"/>
      <c r="AI323" s="1404"/>
      <c r="AJ323" s="1404"/>
      <c r="AK323" s="1404"/>
      <c r="AL323" s="1404"/>
      <c r="AM323" s="1404"/>
      <c r="AN323" s="1404"/>
      <c r="AO323" s="1404"/>
      <c r="AP323" s="1404"/>
      <c r="AQ323" s="1404"/>
      <c r="AR323" s="1404"/>
      <c r="AS323" s="1404"/>
      <c r="AT323" s="1404"/>
      <c r="AU323" s="1405"/>
      <c r="AV323" s="1658"/>
      <c r="AW323" s="1640"/>
      <c r="AX323" s="1640" t="str">
        <f>IF(T323="","",T323)</f>
        <v/>
      </c>
      <c r="AY323" s="1640"/>
      <c r="AZ323" s="1640"/>
      <c r="BA323" s="1658">
        <v>0</v>
      </c>
    </row>
    <row s="638" customFormat="1" customHeight="1" ht="0.75">
      <c r="A324" s="1359"/>
      <c r="B324" s="1359"/>
      <c r="C324" s="1359"/>
      <c r="D324" s="1359"/>
      <c r="E324" s="2275"/>
      <c r="F324" s="2275" t="s">
        <v>107</v>
      </c>
      <c r="G324" s="2275"/>
      <c r="H324" s="2274"/>
      <c r="I324" s="1359"/>
      <c r="J324" s="1359"/>
      <c r="K324" s="1359"/>
      <c r="L324" s="1561"/>
      <c r="M324" s="1331"/>
      <c r="N324" s="1331"/>
      <c r="O324" s="1658"/>
      <c r="P324" s="1332"/>
      <c r="Q324" s="1360"/>
      <c r="R324" s="1417"/>
      <c r="S324" s="1402"/>
      <c r="T324" s="1403"/>
      <c r="U324" s="1404"/>
      <c r="V324" s="1404"/>
      <c r="W324" s="1404"/>
      <c r="X324" s="1404"/>
      <c r="Y324" s="1404"/>
      <c r="Z324" s="1404"/>
      <c r="AA324" s="1404"/>
      <c r="AB324" s="1404"/>
      <c r="AC324" s="1404"/>
      <c r="AD324" s="1404"/>
      <c r="AE324" s="1404"/>
      <c r="AF324" s="1404"/>
      <c r="AG324" s="1404"/>
      <c r="AH324" s="1404"/>
      <c r="AI324" s="1404"/>
      <c r="AJ324" s="1404"/>
      <c r="AK324" s="1404"/>
      <c r="AL324" s="1404"/>
      <c r="AM324" s="1404"/>
      <c r="AN324" s="1404"/>
      <c r="AO324" s="1404"/>
      <c r="AP324" s="1404"/>
      <c r="AQ324" s="1404"/>
      <c r="AR324" s="1404"/>
      <c r="AS324" s="1404"/>
      <c r="AT324" s="1404"/>
      <c r="AU324" s="1405"/>
      <c r="AV324" s="1658"/>
      <c r="AW324" s="1640"/>
      <c r="AX324" s="1640" t="str">
        <f>IF(T324="","",T324)</f>
        <v/>
      </c>
      <c r="AY324" s="1640"/>
      <c r="AZ324" s="1640"/>
      <c r="BA324" s="1658">
        <v>0</v>
      </c>
    </row>
    <row s="638" customFormat="1" customHeight="1" ht="0.75">
      <c r="A325" s="1359"/>
      <c r="B325" s="1359"/>
      <c r="C325" s="1359"/>
      <c r="D325" s="1359"/>
      <c r="E325" s="2275"/>
      <c r="F325" s="2275" t="s">
        <v>107</v>
      </c>
      <c r="G325" s="2274"/>
      <c r="H325" s="1359"/>
      <c r="I325" s="1359"/>
      <c r="J325" s="1359"/>
      <c r="K325" s="1359"/>
      <c r="L325" s="1561"/>
      <c r="M325" s="1331"/>
      <c r="N325" s="1331"/>
      <c r="O325" s="1658"/>
      <c r="P325" s="1332"/>
      <c r="Q325" s="1360"/>
      <c r="R325" s="1332"/>
      <c r="S325" s="1338"/>
      <c r="T325" s="1341" t="s">
        <v>268</v>
      </c>
      <c r="U325" s="1340"/>
      <c r="V325" s="1340"/>
      <c r="W325" s="1340"/>
      <c r="X325" s="1340"/>
      <c r="Y325" s="1340"/>
      <c r="Z325" s="1340"/>
      <c r="AA325" s="1340"/>
      <c r="AB325" s="1340"/>
      <c r="AC325" s="1340"/>
      <c r="AD325" s="1340"/>
      <c r="AE325" s="1340"/>
      <c r="AF325" s="1340"/>
      <c r="AG325" s="1340"/>
      <c r="AH325" s="1340"/>
      <c r="AI325" s="1340"/>
      <c r="AJ325" s="1340"/>
      <c r="AK325" s="1340"/>
      <c r="AL325" s="1340"/>
      <c r="AM325" s="1340"/>
      <c r="AN325" s="1340"/>
      <c r="AO325" s="1340"/>
      <c r="AP325" s="1340"/>
      <c r="AQ325" s="1340"/>
      <c r="AR325" s="1340"/>
      <c r="AS325" s="1340"/>
      <c r="AT325" s="1340"/>
      <c r="AU325" s="1340"/>
      <c r="AV325" s="1658"/>
      <c r="AW325" s="1640"/>
      <c r="AX325" s="1640" t="str">
        <f>IF(T325="","",T325)</f>
        <v>Добавить источник для дифференциации</v>
      </c>
      <c r="AY325" s="1640"/>
      <c r="AZ325" s="1640"/>
      <c r="BA325" s="1658">
        <v>0</v>
      </c>
    </row>
    <row s="638" customFormat="1" customHeight="1" ht="0.75">
      <c r="A326" s="1359"/>
      <c r="B326" s="1359"/>
      <c r="C326" s="1359"/>
      <c r="D326" s="1359"/>
      <c r="E326" s="2275"/>
      <c r="F326" s="2274" t="s">
        <v>107</v>
      </c>
      <c r="G326" s="1359"/>
      <c r="H326" s="1359"/>
      <c r="I326" s="1359"/>
      <c r="J326" s="1359"/>
      <c r="K326" s="1359"/>
      <c r="L326" s="1561"/>
      <c r="M326" s="1337"/>
      <c r="N326" s="1337"/>
      <c r="O326" s="1658"/>
      <c r="P326" s="1332"/>
      <c r="Q326" s="1360"/>
      <c r="R326" s="1332"/>
      <c r="S326" s="1338"/>
      <c r="T326" s="1341" t="s">
        <v>269</v>
      </c>
      <c r="U326" s="1340"/>
      <c r="V326" s="1340"/>
      <c r="W326" s="1340"/>
      <c r="X326" s="1340"/>
      <c r="Y326" s="1340"/>
      <c r="Z326" s="1340"/>
      <c r="AA326" s="1340"/>
      <c r="AB326" s="1340"/>
      <c r="AC326" s="1340"/>
      <c r="AD326" s="1340"/>
      <c r="AE326" s="1340"/>
      <c r="AF326" s="1340"/>
      <c r="AG326" s="1340"/>
      <c r="AH326" s="1340"/>
      <c r="AI326" s="1340"/>
      <c r="AJ326" s="1340"/>
      <c r="AK326" s="1340"/>
      <c r="AL326" s="1340"/>
      <c r="AM326" s="1340"/>
      <c r="AN326" s="1340"/>
      <c r="AO326" s="1340"/>
      <c r="AP326" s="1340"/>
      <c r="AQ326" s="1340"/>
      <c r="AR326" s="1340"/>
      <c r="AS326" s="1340"/>
      <c r="AT326" s="1340"/>
      <c r="AU326" s="1340"/>
      <c r="AV326" s="1658"/>
      <c r="AW326" s="1640"/>
      <c r="AX326" s="1640" t="str">
        <f>IF(T326="","",T326)</f>
        <v>Добавить централизованную систему для дифференциации</v>
      </c>
      <c r="AY326" s="1640"/>
      <c r="AZ326" s="1640"/>
      <c r="BA326" s="1658">
        <v>0</v>
      </c>
    </row>
    <row s="1866" customFormat="1" customHeight="1" ht="21">
      <c r="A327" s="1379"/>
      <c r="B327" s="1379" t="s">
        <v>343</v>
      </c>
      <c r="C327" s="1379"/>
      <c r="D327" s="1379"/>
      <c r="E327" s="2275"/>
      <c r="F327" s="2274" t="s">
        <v>94</v>
      </c>
      <c r="G327" s="1379"/>
      <c r="H327" s="1379"/>
      <c r="I327" s="1379"/>
      <c r="J327" s="1379"/>
      <c r="K327" s="1379"/>
      <c r="L327" s="1385"/>
      <c r="M327" s="1381"/>
      <c r="N327" s="1381"/>
      <c r="O327" s="1381"/>
      <c r="P327" s="2623"/>
      <c r="Q327" s="1427"/>
      <c r="R327" s="369"/>
      <c r="S327" s="2289" t="str">
        <f>INDEX(PT_DIFFERENTIATION_NUM_TER,MATCH(B327,PT_DIFFERENTIATION_TER_ID,0))</f>
        <v>2.4</v>
      </c>
      <c r="T327" s="1538" t="s">
        <v>550</v>
      </c>
      <c r="U327" s="316"/>
      <c r="V327" s="2259"/>
      <c r="W327" s="2259"/>
      <c r="X327" s="2259"/>
      <c r="Y327" s="2259"/>
      <c r="Z327" s="2259"/>
      <c r="AA327" s="2260"/>
      <c r="AB327" s="2258" t="str">
        <f>INDEX(PT_DIFFERENTIATION_TER,MATCH(B327,PT_DIFFERENTIATION_TER_ID,0))</f>
        <v>Территория 7</v>
      </c>
      <c r="AC327" s="2259"/>
      <c r="AD327" s="2259"/>
      <c r="AE327" s="2259"/>
      <c r="AF327" s="2259"/>
      <c r="AG327" s="2259"/>
      <c r="AH327" s="2259"/>
      <c r="AI327" s="2259"/>
      <c r="AJ327" s="2259"/>
      <c r="AK327" s="2259"/>
      <c r="AL327" s="2259"/>
      <c r="AM327" s="2259"/>
      <c r="AN327" s="2259"/>
      <c r="AO327" s="2259"/>
      <c r="AP327" s="2259"/>
      <c r="AQ327" s="2259"/>
      <c r="AR327" s="2259"/>
      <c r="AS327" s="2259"/>
      <c r="AT327" s="2260"/>
      <c r="AU327" s="1274" t="s">
        <v>551</v>
      </c>
      <c r="AV327" s="1658"/>
      <c r="AW327" s="1640"/>
      <c r="AX327" s="1640" t="str">
        <f>IF(T327="","",T327)</f>
        <v>Территория действия тарифа</v>
      </c>
      <c r="AY327" s="1640"/>
      <c r="AZ327" s="1640"/>
      <c r="BA327" s="1651">
        <v>0</v>
      </c>
    </row>
    <row s="1866" customFormat="1" customHeight="1" ht="22.5">
      <c r="A328" s="1379"/>
      <c r="B328" s="1379"/>
      <c r="C328" s="1379" t="s">
        <v>344</v>
      </c>
      <c r="D328" s="1379"/>
      <c r="E328" s="2275"/>
      <c r="F328" s="2275" t="s">
        <v>93</v>
      </c>
      <c r="G328" s="2274">
        <v>1</v>
      </c>
      <c r="H328" s="1379"/>
      <c r="I328" s="1379"/>
      <c r="J328" s="1379"/>
      <c r="K328" s="1379"/>
      <c r="L328" s="1385"/>
      <c r="M328" s="1381"/>
      <c r="N328" s="1381"/>
      <c r="O328" s="1381"/>
      <c r="P328" s="1428"/>
      <c r="Q328" s="1427"/>
      <c r="R328" s="369"/>
      <c r="S328" s="2289" t="str">
        <f>INDEX(PT_DIFFERENTIATION_NUM_CS,MATCH(C328,PT_DIFFERENTIATION_CS_ID,0))</f>
        <v>2.4.1</v>
      </c>
      <c r="T328" s="325" t="s">
        <v>552</v>
      </c>
      <c r="U328" s="316"/>
      <c r="V328" s="2259"/>
      <c r="W328" s="2259"/>
      <c r="X328" s="2259"/>
      <c r="Y328" s="2259"/>
      <c r="Z328" s="2259"/>
      <c r="AA328" s="2260"/>
      <c r="AB328" s="2258" t="str">
        <f>INDEX(PT_DIFFERENTIATION_CS,MATCH(C328,PT_DIFFERENTIATION_CS_ID,0))</f>
        <v>пгт Кировский, Кировский муниципальный округ</v>
      </c>
      <c r="AC328" s="2259"/>
      <c r="AD328" s="2259"/>
      <c r="AE328" s="2259"/>
      <c r="AF328" s="2259"/>
      <c r="AG328" s="2259"/>
      <c r="AH328" s="2259"/>
      <c r="AI328" s="2259"/>
      <c r="AJ328" s="2259"/>
      <c r="AK328" s="2259"/>
      <c r="AL328" s="2259"/>
      <c r="AM328" s="2259"/>
      <c r="AN328" s="2259"/>
      <c r="AO328" s="2259"/>
      <c r="AP328" s="2259"/>
      <c r="AQ328" s="2259"/>
      <c r="AR328" s="2259"/>
      <c r="AS328" s="2259"/>
      <c r="AT328" s="2260"/>
      <c r="AU328" s="1274" t="s">
        <v>553</v>
      </c>
      <c r="AV328" s="1658"/>
      <c r="AW328" s="1640"/>
      <c r="AX328" s="1640" t="str">
        <f>IF(T328="","",T328)</f>
        <v>Наименование системы теплоснабжения </v>
      </c>
      <c r="AY328" s="1640"/>
      <c r="AZ328" s="1640"/>
      <c r="BA328" s="1651">
        <v>0</v>
      </c>
    </row>
    <row s="1866" customFormat="1" customHeight="1" ht="21">
      <c r="A329" s="1379"/>
      <c r="B329" s="1379"/>
      <c r="C329" s="1379"/>
      <c r="D329" s="1379" t="s">
        <v>345</v>
      </c>
      <c r="E329" s="2275"/>
      <c r="F329" s="2275" t="s">
        <v>93</v>
      </c>
      <c r="G329" s="2275"/>
      <c r="H329" s="2274">
        <v>1</v>
      </c>
      <c r="I329" s="1379"/>
      <c r="J329" s="1379"/>
      <c r="K329" s="1379"/>
      <c r="L329" s="1385"/>
      <c r="M329" s="1381"/>
      <c r="N329" s="1381"/>
      <c r="O329" s="1381"/>
      <c r="P329" s="1428"/>
      <c r="Q329" s="1427"/>
      <c r="R329" s="369"/>
      <c r="S329" s="2289" t="str">
        <f>INDEX(PT_DIFFERENTIATION_NUM_IST_TE,MATCH(D329,PT_DIFFERENTIATION_IST_TE_ID,0))</f>
        <v>2.4.1.1</v>
      </c>
      <c r="T329" s="326" t="s">
        <v>554</v>
      </c>
      <c r="U329" s="316"/>
      <c r="V329" s="2259"/>
      <c r="W329" s="2259"/>
      <c r="X329" s="2259"/>
      <c r="Y329" s="2259"/>
      <c r="Z329" s="2259"/>
      <c r="AA329" s="2260"/>
      <c r="AB329" s="2258" t="str">
        <f>INDEX(PT_DIFFERENTIATION_IST_TE,MATCH(D329,PT_DIFFERENTIATION_IST_TE_ID,0))</f>
        <v>без дифференциации</v>
      </c>
      <c r="AC329" s="2259"/>
      <c r="AD329" s="2259"/>
      <c r="AE329" s="2259"/>
      <c r="AF329" s="2259"/>
      <c r="AG329" s="2259"/>
      <c r="AH329" s="2259"/>
      <c r="AI329" s="2259"/>
      <c r="AJ329" s="2259"/>
      <c r="AK329" s="2259"/>
      <c r="AL329" s="2259"/>
      <c r="AM329" s="2259"/>
      <c r="AN329" s="2259"/>
      <c r="AO329" s="2259"/>
      <c r="AP329" s="2259"/>
      <c r="AQ329" s="2259"/>
      <c r="AR329" s="2259"/>
      <c r="AS329" s="2259"/>
      <c r="AT329" s="2260"/>
      <c r="AU329" s="1274" t="s">
        <v>555</v>
      </c>
      <c r="AV329" s="1658"/>
      <c r="AW329" s="1640"/>
      <c r="AX329" s="1640" t="str">
        <f>IF(T329="","",T329)</f>
        <v>Источник тепловой энергии  </v>
      </c>
      <c r="AY329" s="1640"/>
      <c r="AZ329" s="1640"/>
      <c r="BA329" s="1651">
        <v>0</v>
      </c>
    </row>
    <row s="638" customFormat="1" customHeight="1" ht="0.75">
      <c r="A330" s="1359"/>
      <c r="B330" s="1359"/>
      <c r="C330" s="1359"/>
      <c r="D330" s="1359"/>
      <c r="E330" s="2275"/>
      <c r="F330" s="2275" t="s">
        <v>93</v>
      </c>
      <c r="G330" s="2275"/>
      <c r="H330" s="2275"/>
      <c r="I330" s="2272" t="str">
        <f>S329&amp;".1"</f>
        <v>2.4.1.1.1</v>
      </c>
      <c r="J330" s="1359"/>
      <c r="K330" s="1359"/>
      <c r="L330" s="1561" t="s">
        <v>556</v>
      </c>
      <c r="M330" s="526"/>
      <c r="N330" s="526"/>
      <c r="O330" s="526"/>
      <c r="P330" s="2390">
        <v>1</v>
      </c>
      <c r="Q330" s="2390"/>
      <c r="R330" s="372"/>
      <c r="S330" s="2320"/>
      <c r="T330" s="1399"/>
      <c r="U330" s="1400"/>
      <c r="V330" s="2313"/>
      <c r="W330" s="2313"/>
      <c r="X330" s="2313"/>
      <c r="Y330" s="2313"/>
      <c r="Z330" s="2313"/>
      <c r="AA330" s="2314"/>
      <c r="AB330" s="2312"/>
      <c r="AC330" s="2313"/>
      <c r="AD330" s="2313"/>
      <c r="AE330" s="2313"/>
      <c r="AF330" s="2313"/>
      <c r="AG330" s="2313"/>
      <c r="AH330" s="2313"/>
      <c r="AI330" s="2313"/>
      <c r="AJ330" s="2313"/>
      <c r="AK330" s="2313"/>
      <c r="AL330" s="2313"/>
      <c r="AM330" s="2313"/>
      <c r="AN330" s="2313"/>
      <c r="AO330" s="2313"/>
      <c r="AP330" s="2313"/>
      <c r="AQ330" s="2313"/>
      <c r="AR330" s="2313"/>
      <c r="AS330" s="2313"/>
      <c r="AT330" s="2314"/>
      <c r="AU330" s="1401"/>
      <c r="AV330" s="1658"/>
      <c r="AW330" s="1640"/>
      <c r="AX330" s="1640" t="str">
        <f>IF(T330="","",T330)</f>
        <v/>
      </c>
      <c r="AY330" s="1640"/>
      <c r="AZ330" s="1640"/>
      <c r="BA330" s="1658">
        <v>0</v>
      </c>
    </row>
    <row s="638" customFormat="1" customHeight="1" ht="0.75">
      <c r="A331" s="1359"/>
      <c r="B331" s="1359"/>
      <c r="C331" s="1359"/>
      <c r="D331" s="1359"/>
      <c r="E331" s="2275"/>
      <c r="F331" s="2275" t="s">
        <v>93</v>
      </c>
      <c r="G331" s="2275"/>
      <c r="H331" s="2275"/>
      <c r="I331" s="2302"/>
      <c r="J331" s="2272" t="str">
        <f>S329&amp;".1"</f>
        <v>2.4.1.1.1</v>
      </c>
      <c r="K331" s="1359"/>
      <c r="L331" s="1561"/>
      <c r="M331" s="526"/>
      <c r="N331" s="526"/>
      <c r="O331" s="526"/>
      <c r="P331" s="2390"/>
      <c r="Q331" s="2390">
        <v>1</v>
      </c>
      <c r="R331" s="373"/>
      <c r="S331" s="2320"/>
      <c r="T331" s="1415"/>
      <c r="U331" s="1400"/>
      <c r="V331" s="2313"/>
      <c r="W331" s="2313"/>
      <c r="X331" s="2313"/>
      <c r="Y331" s="2313"/>
      <c r="Z331" s="2313"/>
      <c r="AA331" s="2314"/>
      <c r="AB331" s="2312"/>
      <c r="AC331" s="2313"/>
      <c r="AD331" s="2313"/>
      <c r="AE331" s="2313"/>
      <c r="AF331" s="2313"/>
      <c r="AG331" s="2313"/>
      <c r="AH331" s="2313"/>
      <c r="AI331" s="2313"/>
      <c r="AJ331" s="2313"/>
      <c r="AK331" s="2313"/>
      <c r="AL331" s="2313"/>
      <c r="AM331" s="2313"/>
      <c r="AN331" s="2313"/>
      <c r="AO331" s="2313"/>
      <c r="AP331" s="2313"/>
      <c r="AQ331" s="2313"/>
      <c r="AR331" s="2313"/>
      <c r="AS331" s="2313"/>
      <c r="AT331" s="2314"/>
      <c r="AU331" s="1401"/>
      <c r="AV331" s="1658"/>
      <c r="AW331" s="1640"/>
      <c r="AX331" s="1640" t="str">
        <f>IF(T331="","",T331)</f>
        <v/>
      </c>
      <c r="AY331" s="1640"/>
      <c r="AZ331" s="1640"/>
      <c r="BA331" s="1658">
        <v>0</v>
      </c>
    </row>
    <row s="1866" customFormat="1" customHeight="1" ht="21">
      <c r="A332" s="1379"/>
      <c r="B332" s="1379"/>
      <c r="C332" s="1379"/>
      <c r="D332" s="1379"/>
      <c r="E332" s="2275"/>
      <c r="F332" s="2275" t="s">
        <v>93</v>
      </c>
      <c r="G332" s="2275"/>
      <c r="H332" s="2275"/>
      <c r="I332" s="2302"/>
      <c r="J332" s="2302"/>
      <c r="K332" s="2272" t="str">
        <f>S329&amp;".1"</f>
        <v>2.4.1.1.1</v>
      </c>
      <c r="L332" s="1385"/>
      <c r="M332" s="1792"/>
      <c r="N332" s="1792"/>
      <c r="O332" s="1792"/>
      <c r="P332" s="2390"/>
      <c r="Q332" s="2390"/>
      <c r="R332" s="2363">
        <v>1</v>
      </c>
      <c r="S332" s="2357" t="str">
        <f>$K332</f>
        <v>2.4.1.1.1</v>
      </c>
      <c r="T332" s="2360" t="s">
        <v>630</v>
      </c>
      <c r="U332" s="316"/>
      <c r="V332" s="767"/>
      <c r="W332" s="1273"/>
      <c r="X332" s="2618"/>
      <c r="Y332" s="2123" t="s">
        <v>64</v>
      </c>
      <c r="Z332" s="2618"/>
      <c r="AA332" s="2123" t="s">
        <v>64</v>
      </c>
      <c r="AB332" s="2123" t="s">
        <v>19</v>
      </c>
      <c r="AC332" s="2342"/>
      <c r="AD332" s="2453">
        <v>1</v>
      </c>
      <c r="AE332" s="2364" t="s">
        <v>28</v>
      </c>
      <c r="AF332" s="2123" t="s">
        <v>64</v>
      </c>
      <c r="AG332" s="2342"/>
      <c r="AH332" s="2453">
        <v>1</v>
      </c>
      <c r="AI332" s="2764" t="s">
        <v>632</v>
      </c>
      <c r="AJ332" s="2123" t="s">
        <v>64</v>
      </c>
      <c r="AK332" s="327"/>
      <c r="AL332" s="2453">
        <v>1</v>
      </c>
      <c r="AM332" s="3464" t="s">
        <v>633</v>
      </c>
      <c r="AN332" s="767"/>
      <c r="AO332" s="1273">
        <v>126823.387</v>
      </c>
      <c r="AP332" s="2618">
        <v>45827</v>
      </c>
      <c r="AQ332" s="2123" t="s">
        <v>64</v>
      </c>
      <c r="AR332" s="2618">
        <v>46022</v>
      </c>
      <c r="AS332" s="2123" t="s">
        <v>64</v>
      </c>
      <c r="AT332" s="1364"/>
      <c r="AU332" s="2269" t="s">
        <v>613</v>
      </c>
      <c r="AV332" s="1658">
        <f>STRCHECKDATE(V335:AT335)</f>
      </c>
      <c r="AW332" s="1640"/>
      <c r="AX332" s="1640" t="str">
        <f>IF(T332="","",T332)</f>
        <v>Котельная</v>
      </c>
      <c r="AY332" s="1640"/>
      <c r="AZ332" s="1640"/>
      <c r="BA332" s="1651">
        <v>0</v>
      </c>
    </row>
    <row s="1866" customFormat="1" customHeight="1" ht="11.25">
      <c r="A333" s="1379"/>
      <c r="B333" s="1379"/>
      <c r="C333" s="1379"/>
      <c r="D333" s="1379"/>
      <c r="E333" s="2275"/>
      <c r="F333" s="2275" t="s">
        <v>93</v>
      </c>
      <c r="G333" s="2275"/>
      <c r="H333" s="2275"/>
      <c r="I333" s="2302"/>
      <c r="J333" s="2302"/>
      <c r="K333" s="2272"/>
      <c r="L333" s="1385"/>
      <c r="M333" s="1792"/>
      <c r="N333" s="1792"/>
      <c r="O333" s="1792"/>
      <c r="P333" s="2390"/>
      <c r="Q333" s="2390"/>
      <c r="R333" s="2363"/>
      <c r="S333" s="2358"/>
      <c r="T333" s="2361"/>
      <c r="U333" s="316"/>
      <c r="V333" s="3465"/>
      <c r="W333" s="3466"/>
      <c r="X333" s="2618"/>
      <c r="Y333" s="2123"/>
      <c r="Z333" s="2618"/>
      <c r="AA333" s="2123"/>
      <c r="AB333" s="2123"/>
      <c r="AC333" s="2342"/>
      <c r="AD333" s="2453"/>
      <c r="AE333" s="2364" t="s">
        <v>28</v>
      </c>
      <c r="AF333" s="2123"/>
      <c r="AG333" s="2342"/>
      <c r="AH333" s="2453"/>
      <c r="AI333" s="2764" t="s">
        <v>28</v>
      </c>
      <c r="AJ333" s="2123"/>
      <c r="AK333" s="3467"/>
      <c r="AL333" s="3468"/>
      <c r="AM333" s="3469" t="s">
        <v>614</v>
      </c>
      <c r="AN333" s="3470"/>
      <c r="AO333" s="3471"/>
      <c r="AP333" s="3472"/>
      <c r="AQ333" s="3473"/>
      <c r="AR333" s="3474"/>
      <c r="AS333" s="3475"/>
      <c r="AT333" s="1406"/>
      <c r="AU333" s="2270"/>
      <c r="AV333" s="1658"/>
      <c r="AW333" s="1640"/>
      <c r="AX333" s="1640"/>
      <c r="AY333" s="1640"/>
      <c r="AZ333" s="1640"/>
      <c r="BA333" s="1651">
        <v>0</v>
      </c>
    </row>
    <row s="1866" customFormat="1" customHeight="1" ht="11.25">
      <c r="A334" s="1379"/>
      <c r="B334" s="1379"/>
      <c r="C334" s="1379"/>
      <c r="D334" s="1379"/>
      <c r="E334" s="2275"/>
      <c r="F334" s="2275" t="s">
        <v>93</v>
      </c>
      <c r="G334" s="2275"/>
      <c r="H334" s="2275"/>
      <c r="I334" s="2302"/>
      <c r="J334" s="2302"/>
      <c r="K334" s="2272"/>
      <c r="L334" s="1385"/>
      <c r="M334" s="1792"/>
      <c r="N334" s="1792"/>
      <c r="O334" s="1792"/>
      <c r="P334" s="2390"/>
      <c r="Q334" s="2390"/>
      <c r="R334" s="2363"/>
      <c r="S334" s="2358"/>
      <c r="T334" s="2361"/>
      <c r="U334" s="316"/>
      <c r="V334" s="3476"/>
      <c r="W334" s="3477"/>
      <c r="X334" s="2618"/>
      <c r="Y334" s="2123"/>
      <c r="Z334" s="2618"/>
      <c r="AA334" s="2123"/>
      <c r="AB334" s="2123"/>
      <c r="AC334" s="2342"/>
      <c r="AD334" s="2453"/>
      <c r="AE334" s="2364" t="s">
        <v>28</v>
      </c>
      <c r="AF334" s="2123"/>
      <c r="AG334" s="3478"/>
      <c r="AH334" s="3479"/>
      <c r="AI334" s="3480" t="s">
        <v>615</v>
      </c>
      <c r="AJ334" s="3481"/>
      <c r="AK334" s="3482"/>
      <c r="AL334" s="3483"/>
      <c r="AM334" s="3484"/>
      <c r="AN334" s="3485"/>
      <c r="AO334" s="3486"/>
      <c r="AP334" s="3487"/>
      <c r="AQ334" s="3488"/>
      <c r="AR334" s="3489"/>
      <c r="AS334" s="3490"/>
      <c r="AT334" s="1406"/>
      <c r="AU334" s="2270"/>
      <c r="AV334" s="1658"/>
      <c r="AW334" s="1640"/>
      <c r="AX334" s="1640"/>
      <c r="AY334" s="1640"/>
      <c r="AZ334" s="1640"/>
      <c r="BA334" s="1651">
        <v>0</v>
      </c>
    </row>
    <row s="1866" customFormat="1" customHeight="1" ht="11.25">
      <c r="A335" s="1379"/>
      <c r="B335" s="1379"/>
      <c r="C335" s="1379"/>
      <c r="D335" s="1379"/>
      <c r="E335" s="2275"/>
      <c r="F335" s="2275" t="s">
        <v>93</v>
      </c>
      <c r="G335" s="2275"/>
      <c r="H335" s="2275"/>
      <c r="I335" s="2302"/>
      <c r="J335" s="2302"/>
      <c r="K335" s="2272"/>
      <c r="L335" s="1385"/>
      <c r="M335" s="1792"/>
      <c r="N335" s="1792"/>
      <c r="O335" s="1792"/>
      <c r="P335" s="2390"/>
      <c r="Q335" s="2390"/>
      <c r="R335" s="2363"/>
      <c r="S335" s="2359"/>
      <c r="T335" s="2362"/>
      <c r="U335" s="316"/>
      <c r="V335" s="3491"/>
      <c r="W335" s="3492" t="str">
        <f>X332&amp;"-"&amp;Z332</f>
        <v>-</v>
      </c>
      <c r="X335" s="2325"/>
      <c r="Y335" s="2123"/>
      <c r="Z335" s="2325"/>
      <c r="AA335" s="2123"/>
      <c r="AB335" s="2123"/>
      <c r="AC335" s="3493"/>
      <c r="AD335" s="3494"/>
      <c r="AE335" s="3495" t="s">
        <v>616</v>
      </c>
      <c r="AF335" s="3496"/>
      <c r="AG335" s="3497"/>
      <c r="AH335" s="3498"/>
      <c r="AI335" s="3499"/>
      <c r="AJ335" s="3500"/>
      <c r="AK335" s="3501"/>
      <c r="AL335" s="3502"/>
      <c r="AM335" s="3503"/>
      <c r="AN335" s="3504"/>
      <c r="AO335" s="3505" t="str">
        <f>AP332&amp;"-"&amp;AR332</f>
        <v>45827-46022</v>
      </c>
      <c r="AP335" s="3506"/>
      <c r="AQ335" s="3507"/>
      <c r="AR335" s="3508"/>
      <c r="AS335" s="3509"/>
      <c r="AT335" s="1365"/>
      <c r="AU335" s="2270"/>
      <c r="AV335" s="1658"/>
      <c r="AW335" s="1640"/>
      <c r="AX335" s="1640" t="str">
        <f>IF(T335="","",T335)</f>
        <v/>
      </c>
      <c r="AY335" s="1640"/>
      <c r="AZ335" s="1640"/>
      <c r="BA335" s="1651">
        <v>0</v>
      </c>
    </row>
    <row s="1866" customFormat="1" customHeight="1" ht="11.25">
      <c r="A336" s="1379"/>
      <c r="B336" s="1379"/>
      <c r="C336" s="1379"/>
      <c r="D336" s="1379"/>
      <c r="E336" s="2275"/>
      <c r="F336" s="2275" t="s">
        <v>93</v>
      </c>
      <c r="G336" s="2275"/>
      <c r="H336" s="2275"/>
      <c r="I336" s="2302"/>
      <c r="J336" s="2272"/>
      <c r="K336" s="1379"/>
      <c r="L336" s="1385"/>
      <c r="M336" s="1792"/>
      <c r="N336" s="1792"/>
      <c r="O336" s="1792"/>
      <c r="P336" s="2390"/>
      <c r="Q336" s="2390"/>
      <c r="R336" s="372"/>
      <c r="S336" s="3510"/>
      <c r="T336" s="3511" t="s">
        <v>617</v>
      </c>
      <c r="U336" s="3512"/>
      <c r="V336" s="3513"/>
      <c r="W336" s="3514"/>
      <c r="X336" s="3515"/>
      <c r="Y336" s="3516"/>
      <c r="Z336" s="3517"/>
      <c r="AA336" s="3518"/>
      <c r="AB336" s="3519"/>
      <c r="AC336" s="3520"/>
      <c r="AD336" s="3521"/>
      <c r="AE336" s="3522"/>
      <c r="AF336" s="3523"/>
      <c r="AG336" s="3524"/>
      <c r="AH336" s="3525"/>
      <c r="AI336" s="3526"/>
      <c r="AJ336" s="3527"/>
      <c r="AK336" s="3528"/>
      <c r="AL336" s="3529"/>
      <c r="AM336" s="3530"/>
      <c r="AN336" s="3531"/>
      <c r="AO336" s="3532"/>
      <c r="AP336" s="3533"/>
      <c r="AQ336" s="3534"/>
      <c r="AR336" s="3535"/>
      <c r="AS336" s="3536"/>
      <c r="AT336" s="3537"/>
      <c r="AU336" s="2271"/>
      <c r="AV336" s="1658"/>
      <c r="AW336" s="1640"/>
      <c r="AX336" s="1640" t="str">
        <f>IF(T336="","",T336)</f>
        <v>Добавить строку</v>
      </c>
      <c r="AY336" s="1640"/>
      <c r="AZ336" s="1640"/>
      <c r="BA336" s="1651">
        <v>0</v>
      </c>
    </row>
    <row s="638" customFormat="1" customHeight="1" ht="0.75">
      <c r="A337" s="1359"/>
      <c r="B337" s="1359"/>
      <c r="C337" s="1359"/>
      <c r="D337" s="1359"/>
      <c r="E337" s="2275"/>
      <c r="F337" s="2275" t="s">
        <v>93</v>
      </c>
      <c r="G337" s="2275"/>
      <c r="H337" s="2275"/>
      <c r="I337" s="2272"/>
      <c r="J337" s="1359"/>
      <c r="K337" s="1359"/>
      <c r="L337" s="1561"/>
      <c r="M337" s="526"/>
      <c r="N337" s="526"/>
      <c r="O337" s="526"/>
      <c r="P337" s="2390"/>
      <c r="Q337" s="2390"/>
      <c r="R337" s="372"/>
      <c r="S337" s="1402"/>
      <c r="T337" s="1403"/>
      <c r="U337" s="1404"/>
      <c r="V337" s="1404"/>
      <c r="W337" s="1404"/>
      <c r="X337" s="1404"/>
      <c r="Y337" s="1404"/>
      <c r="Z337" s="1404"/>
      <c r="AA337" s="1404"/>
      <c r="AB337" s="1404"/>
      <c r="AC337" s="1404"/>
      <c r="AD337" s="1404"/>
      <c r="AE337" s="1404"/>
      <c r="AF337" s="1404"/>
      <c r="AG337" s="1404"/>
      <c r="AH337" s="1404"/>
      <c r="AI337" s="1404"/>
      <c r="AJ337" s="1404"/>
      <c r="AK337" s="1404"/>
      <c r="AL337" s="1404"/>
      <c r="AM337" s="1404"/>
      <c r="AN337" s="1404"/>
      <c r="AO337" s="1404"/>
      <c r="AP337" s="1404"/>
      <c r="AQ337" s="1404"/>
      <c r="AR337" s="1404"/>
      <c r="AS337" s="1404"/>
      <c r="AT337" s="1404"/>
      <c r="AU337" s="1405"/>
      <c r="AV337" s="1658"/>
      <c r="AW337" s="1640"/>
      <c r="AX337" s="1640" t="str">
        <f>IF(T337="","",T337)</f>
        <v/>
      </c>
      <c r="AY337" s="1640"/>
      <c r="AZ337" s="1640"/>
      <c r="BA337" s="1658">
        <v>0</v>
      </c>
    </row>
    <row s="638" customFormat="1" customHeight="1" ht="0.75">
      <c r="A338" s="1359"/>
      <c r="B338" s="1359"/>
      <c r="C338" s="1359"/>
      <c r="D338" s="1359"/>
      <c r="E338" s="2275"/>
      <c r="F338" s="2275" t="s">
        <v>93</v>
      </c>
      <c r="G338" s="2275"/>
      <c r="H338" s="2274"/>
      <c r="I338" s="1359"/>
      <c r="J338" s="1359"/>
      <c r="K338" s="1359"/>
      <c r="L338" s="1561"/>
      <c r="M338" s="1331"/>
      <c r="N338" s="1331"/>
      <c r="O338" s="1658"/>
      <c r="P338" s="1332"/>
      <c r="Q338" s="1360"/>
      <c r="R338" s="1417"/>
      <c r="S338" s="1402"/>
      <c r="T338" s="1403"/>
      <c r="U338" s="1404"/>
      <c r="V338" s="1404"/>
      <c r="W338" s="1404"/>
      <c r="X338" s="1404"/>
      <c r="Y338" s="1404"/>
      <c r="Z338" s="1404"/>
      <c r="AA338" s="1404"/>
      <c r="AB338" s="1404"/>
      <c r="AC338" s="1404"/>
      <c r="AD338" s="1404"/>
      <c r="AE338" s="1404"/>
      <c r="AF338" s="1404"/>
      <c r="AG338" s="1404"/>
      <c r="AH338" s="1404"/>
      <c r="AI338" s="1404"/>
      <c r="AJ338" s="1404"/>
      <c r="AK338" s="1404"/>
      <c r="AL338" s="1404"/>
      <c r="AM338" s="1404"/>
      <c r="AN338" s="1404"/>
      <c r="AO338" s="1404"/>
      <c r="AP338" s="1404"/>
      <c r="AQ338" s="1404"/>
      <c r="AR338" s="1404"/>
      <c r="AS338" s="1404"/>
      <c r="AT338" s="1404"/>
      <c r="AU338" s="1405"/>
      <c r="AV338" s="1658"/>
      <c r="AW338" s="1640"/>
      <c r="AX338" s="1640" t="str">
        <f>IF(T338="","",T338)</f>
        <v/>
      </c>
      <c r="AY338" s="1640"/>
      <c r="AZ338" s="1640"/>
      <c r="BA338" s="1658">
        <v>0</v>
      </c>
    </row>
    <row s="638" customFormat="1" customHeight="1" ht="0.75">
      <c r="A339" s="1359"/>
      <c r="B339" s="1359"/>
      <c r="C339" s="1359"/>
      <c r="D339" s="1359"/>
      <c r="E339" s="2275"/>
      <c r="F339" s="2275" t="s">
        <v>93</v>
      </c>
      <c r="G339" s="2274"/>
      <c r="H339" s="1359"/>
      <c r="I339" s="1359"/>
      <c r="J339" s="1359"/>
      <c r="K339" s="1359"/>
      <c r="L339" s="1561"/>
      <c r="M339" s="1331"/>
      <c r="N339" s="1331"/>
      <c r="O339" s="1658"/>
      <c r="P339" s="1332"/>
      <c r="Q339" s="1360"/>
      <c r="R339" s="1332"/>
      <c r="S339" s="1338"/>
      <c r="T339" s="1341" t="s">
        <v>268</v>
      </c>
      <c r="U339" s="1340"/>
      <c r="V339" s="1340"/>
      <c r="W339" s="1340"/>
      <c r="X339" s="1340"/>
      <c r="Y339" s="1340"/>
      <c r="Z339" s="1340"/>
      <c r="AA339" s="1340"/>
      <c r="AB339" s="1340"/>
      <c r="AC339" s="1340"/>
      <c r="AD339" s="1340"/>
      <c r="AE339" s="1340"/>
      <c r="AF339" s="1340"/>
      <c r="AG339" s="1340"/>
      <c r="AH339" s="1340"/>
      <c r="AI339" s="1340"/>
      <c r="AJ339" s="1340"/>
      <c r="AK339" s="1340"/>
      <c r="AL339" s="1340"/>
      <c r="AM339" s="1340"/>
      <c r="AN339" s="1340"/>
      <c r="AO339" s="1340"/>
      <c r="AP339" s="1340"/>
      <c r="AQ339" s="1340"/>
      <c r="AR339" s="1340"/>
      <c r="AS339" s="1340"/>
      <c r="AT339" s="1340"/>
      <c r="AU339" s="1340"/>
      <c r="AV339" s="1658"/>
      <c r="AW339" s="1640"/>
      <c r="AX339" s="1640" t="str">
        <f>IF(T339="","",T339)</f>
        <v>Добавить источник для дифференциации</v>
      </c>
      <c r="AY339" s="1640"/>
      <c r="AZ339" s="1640"/>
      <c r="BA339" s="1658">
        <v>0</v>
      </c>
    </row>
    <row s="638" customFormat="1" customHeight="1" ht="0.75">
      <c r="A340" s="1359"/>
      <c r="B340" s="1359"/>
      <c r="C340" s="1359"/>
      <c r="D340" s="1359"/>
      <c r="E340" s="2275"/>
      <c r="F340" s="2274" t="s">
        <v>93</v>
      </c>
      <c r="G340" s="1359"/>
      <c r="H340" s="1359"/>
      <c r="I340" s="1359"/>
      <c r="J340" s="1359"/>
      <c r="K340" s="1359"/>
      <c r="L340" s="1561"/>
      <c r="M340" s="1337"/>
      <c r="N340" s="1337"/>
      <c r="O340" s="1658"/>
      <c r="P340" s="1332"/>
      <c r="Q340" s="1360"/>
      <c r="R340" s="1332"/>
      <c r="S340" s="1338"/>
      <c r="T340" s="1341" t="s">
        <v>269</v>
      </c>
      <c r="U340" s="1340"/>
      <c r="V340" s="1340"/>
      <c r="W340" s="1340"/>
      <c r="X340" s="1340"/>
      <c r="Y340" s="1340"/>
      <c r="Z340" s="1340"/>
      <c r="AA340" s="1340"/>
      <c r="AB340" s="1340"/>
      <c r="AC340" s="1340"/>
      <c r="AD340" s="1340"/>
      <c r="AE340" s="1340"/>
      <c r="AF340" s="1340"/>
      <c r="AG340" s="1340"/>
      <c r="AH340" s="1340"/>
      <c r="AI340" s="1340"/>
      <c r="AJ340" s="1340"/>
      <c r="AK340" s="1340"/>
      <c r="AL340" s="1340"/>
      <c r="AM340" s="1340"/>
      <c r="AN340" s="1340"/>
      <c r="AO340" s="1340"/>
      <c r="AP340" s="1340"/>
      <c r="AQ340" s="1340"/>
      <c r="AR340" s="1340"/>
      <c r="AS340" s="1340"/>
      <c r="AT340" s="1340"/>
      <c r="AU340" s="1340"/>
      <c r="AV340" s="1658"/>
      <c r="AW340" s="1640"/>
      <c r="AX340" s="1640" t="str">
        <f>IF(T340="","",T340)</f>
        <v>Добавить централизованную систему для дифференциации</v>
      </c>
      <c r="AY340" s="1640"/>
      <c r="AZ340" s="1640"/>
      <c r="BA340" s="1658">
        <v>0</v>
      </c>
    </row>
    <row s="1866" customFormat="1" customHeight="1" ht="21">
      <c r="A341" s="1379"/>
      <c r="B341" s="1379" t="s">
        <v>346</v>
      </c>
      <c r="C341" s="1379"/>
      <c r="D341" s="1379"/>
      <c r="E341" s="2275"/>
      <c r="F341" s="2274" t="s">
        <v>122</v>
      </c>
      <c r="G341" s="1379"/>
      <c r="H341" s="1379"/>
      <c r="I341" s="1379"/>
      <c r="J341" s="1379"/>
      <c r="K341" s="1379"/>
      <c r="L341" s="1385"/>
      <c r="M341" s="1381"/>
      <c r="N341" s="1381"/>
      <c r="O341" s="1381"/>
      <c r="P341" s="2623"/>
      <c r="Q341" s="1427"/>
      <c r="R341" s="369"/>
      <c r="S341" s="2289" t="str">
        <f>INDEX(PT_DIFFERENTIATION_NUM_TER,MATCH(B341,PT_DIFFERENTIATION_TER_ID,0))</f>
        <v>2.5</v>
      </c>
      <c r="T341" s="1538" t="s">
        <v>550</v>
      </c>
      <c r="U341" s="316"/>
      <c r="V341" s="2259"/>
      <c r="W341" s="2259"/>
      <c r="X341" s="2259"/>
      <c r="Y341" s="2259"/>
      <c r="Z341" s="2259"/>
      <c r="AA341" s="2260"/>
      <c r="AB341" s="2258" t="str">
        <f>INDEX(PT_DIFFERENTIATION_TER,MATCH(B341,PT_DIFFERENTIATION_TER_ID,0))</f>
        <v>Территория 13</v>
      </c>
      <c r="AC341" s="2259"/>
      <c r="AD341" s="2259"/>
      <c r="AE341" s="2259"/>
      <c r="AF341" s="2259"/>
      <c r="AG341" s="2259"/>
      <c r="AH341" s="2259"/>
      <c r="AI341" s="2259"/>
      <c r="AJ341" s="2259"/>
      <c r="AK341" s="2259"/>
      <c r="AL341" s="2259"/>
      <c r="AM341" s="2259"/>
      <c r="AN341" s="2259"/>
      <c r="AO341" s="2259"/>
      <c r="AP341" s="2259"/>
      <c r="AQ341" s="2259"/>
      <c r="AR341" s="2259"/>
      <c r="AS341" s="2259"/>
      <c r="AT341" s="2260"/>
      <c r="AU341" s="1274" t="s">
        <v>551</v>
      </c>
      <c r="AV341" s="1658"/>
      <c r="AW341" s="1640"/>
      <c r="AX341" s="1640" t="str">
        <f>IF(T341="","",T341)</f>
        <v>Территория действия тарифа</v>
      </c>
      <c r="AY341" s="1640"/>
      <c r="AZ341" s="1640"/>
      <c r="BA341" s="1651">
        <v>0</v>
      </c>
    </row>
    <row s="1866" customFormat="1" customHeight="1" ht="22.5">
      <c r="A342" s="1379"/>
      <c r="B342" s="1379"/>
      <c r="C342" s="1379" t="s">
        <v>347</v>
      </c>
      <c r="D342" s="1379"/>
      <c r="E342" s="2275"/>
      <c r="F342" s="2275" t="s">
        <v>94</v>
      </c>
      <c r="G342" s="2274">
        <v>1</v>
      </c>
      <c r="H342" s="1379"/>
      <c r="I342" s="1379"/>
      <c r="J342" s="1379"/>
      <c r="K342" s="1379"/>
      <c r="L342" s="1385"/>
      <c r="M342" s="1381"/>
      <c r="N342" s="1381"/>
      <c r="O342" s="1381"/>
      <c r="P342" s="1428"/>
      <c r="Q342" s="1427"/>
      <c r="R342" s="369"/>
      <c r="S342" s="2289" t="str">
        <f>INDEX(PT_DIFFERENTIATION_NUM_CS,MATCH(C342,PT_DIFFERENTIATION_CS_ID,0))</f>
        <v>2.5.1</v>
      </c>
      <c r="T342" s="325" t="s">
        <v>552</v>
      </c>
      <c r="U342" s="316"/>
      <c r="V342" s="2259"/>
      <c r="W342" s="2259"/>
      <c r="X342" s="2259"/>
      <c r="Y342" s="2259"/>
      <c r="Z342" s="2259"/>
      <c r="AA342" s="2260"/>
      <c r="AB342" s="2258" t="str">
        <f>INDEX(PT_DIFFERENTIATION_CS,MATCH(C342,PT_DIFFERENTIATION_CS_ID,0))</f>
        <v>Арсеньевский городской округ</v>
      </c>
      <c r="AC342" s="2259"/>
      <c r="AD342" s="2259"/>
      <c r="AE342" s="2259"/>
      <c r="AF342" s="2259"/>
      <c r="AG342" s="2259"/>
      <c r="AH342" s="2259"/>
      <c r="AI342" s="2259"/>
      <c r="AJ342" s="2259"/>
      <c r="AK342" s="2259"/>
      <c r="AL342" s="2259"/>
      <c r="AM342" s="2259"/>
      <c r="AN342" s="2259"/>
      <c r="AO342" s="2259"/>
      <c r="AP342" s="2259"/>
      <c r="AQ342" s="2259"/>
      <c r="AR342" s="2259"/>
      <c r="AS342" s="2259"/>
      <c r="AT342" s="2260"/>
      <c r="AU342" s="1274" t="s">
        <v>553</v>
      </c>
      <c r="AV342" s="1658"/>
      <c r="AW342" s="1640"/>
      <c r="AX342" s="1640" t="str">
        <f>IF(T342="","",T342)</f>
        <v>Наименование системы теплоснабжения </v>
      </c>
      <c r="AY342" s="1640"/>
      <c r="AZ342" s="1640"/>
      <c r="BA342" s="1651">
        <v>0</v>
      </c>
    </row>
    <row s="1866" customFormat="1" customHeight="1" ht="21">
      <c r="A343" s="1379"/>
      <c r="B343" s="1379"/>
      <c r="C343" s="1379"/>
      <c r="D343" s="1379" t="s">
        <v>348</v>
      </c>
      <c r="E343" s="2275"/>
      <c r="F343" s="2275" t="s">
        <v>94</v>
      </c>
      <c r="G343" s="2275"/>
      <c r="H343" s="2274">
        <v>1</v>
      </c>
      <c r="I343" s="1379"/>
      <c r="J343" s="1379"/>
      <c r="K343" s="1379"/>
      <c r="L343" s="1385"/>
      <c r="M343" s="1381"/>
      <c r="N343" s="1381"/>
      <c r="O343" s="1381"/>
      <c r="P343" s="1428"/>
      <c r="Q343" s="1427"/>
      <c r="R343" s="369"/>
      <c r="S343" s="2289" t="str">
        <f>INDEX(PT_DIFFERENTIATION_NUM_IST_TE,MATCH(D343,PT_DIFFERENTIATION_IST_TE_ID,0))</f>
        <v>2.5.1.1</v>
      </c>
      <c r="T343" s="326" t="s">
        <v>554</v>
      </c>
      <c r="U343" s="316"/>
      <c r="V343" s="2259"/>
      <c r="W343" s="2259"/>
      <c r="X343" s="2259"/>
      <c r="Y343" s="2259"/>
      <c r="Z343" s="2259"/>
      <c r="AA343" s="2260"/>
      <c r="AB343" s="2258" t="str">
        <f>INDEX(PT_DIFFERENTIATION_IST_TE,MATCH(D343,PT_DIFFERENTIATION_IST_TE_ID,0))</f>
        <v>без дифференциации</v>
      </c>
      <c r="AC343" s="2259"/>
      <c r="AD343" s="2259"/>
      <c r="AE343" s="2259"/>
      <c r="AF343" s="2259"/>
      <c r="AG343" s="2259"/>
      <c r="AH343" s="2259"/>
      <c r="AI343" s="2259"/>
      <c r="AJ343" s="2259"/>
      <c r="AK343" s="2259"/>
      <c r="AL343" s="2259"/>
      <c r="AM343" s="2259"/>
      <c r="AN343" s="2259"/>
      <c r="AO343" s="2259"/>
      <c r="AP343" s="2259"/>
      <c r="AQ343" s="2259"/>
      <c r="AR343" s="2259"/>
      <c r="AS343" s="2259"/>
      <c r="AT343" s="2260"/>
      <c r="AU343" s="1274" t="s">
        <v>555</v>
      </c>
      <c r="AV343" s="1658"/>
      <c r="AW343" s="1640"/>
      <c r="AX343" s="1640" t="str">
        <f>IF(T343="","",T343)</f>
        <v>Источник тепловой энергии  </v>
      </c>
      <c r="AY343" s="1640"/>
      <c r="AZ343" s="1640"/>
      <c r="BA343" s="1651">
        <v>0</v>
      </c>
    </row>
    <row s="638" customFormat="1" customHeight="1" ht="0.75">
      <c r="A344" s="1359"/>
      <c r="B344" s="1359"/>
      <c r="C344" s="1359"/>
      <c r="D344" s="1359"/>
      <c r="E344" s="2275"/>
      <c r="F344" s="2275" t="s">
        <v>94</v>
      </c>
      <c r="G344" s="2275"/>
      <c r="H344" s="2275"/>
      <c r="I344" s="2272" t="str">
        <f>S343&amp;".1"</f>
        <v>2.5.1.1.1</v>
      </c>
      <c r="J344" s="1359"/>
      <c r="K344" s="1359"/>
      <c r="L344" s="1561" t="s">
        <v>556</v>
      </c>
      <c r="M344" s="526"/>
      <c r="N344" s="526"/>
      <c r="O344" s="526"/>
      <c r="P344" s="2390">
        <v>1</v>
      </c>
      <c r="Q344" s="2390"/>
      <c r="R344" s="372"/>
      <c r="S344" s="2320"/>
      <c r="T344" s="1399"/>
      <c r="U344" s="1400"/>
      <c r="V344" s="2313"/>
      <c r="W344" s="2313"/>
      <c r="X344" s="2313"/>
      <c r="Y344" s="2313"/>
      <c r="Z344" s="2313"/>
      <c r="AA344" s="2314"/>
      <c r="AB344" s="2312"/>
      <c r="AC344" s="2313"/>
      <c r="AD344" s="2313"/>
      <c r="AE344" s="2313"/>
      <c r="AF344" s="2313"/>
      <c r="AG344" s="2313"/>
      <c r="AH344" s="2313"/>
      <c r="AI344" s="2313"/>
      <c r="AJ344" s="2313"/>
      <c r="AK344" s="2313"/>
      <c r="AL344" s="2313"/>
      <c r="AM344" s="2313"/>
      <c r="AN344" s="2313"/>
      <c r="AO344" s="2313"/>
      <c r="AP344" s="2313"/>
      <c r="AQ344" s="2313"/>
      <c r="AR344" s="2313"/>
      <c r="AS344" s="2313"/>
      <c r="AT344" s="2314"/>
      <c r="AU344" s="1401"/>
      <c r="AV344" s="1658"/>
      <c r="AW344" s="1640"/>
      <c r="AX344" s="1640" t="str">
        <f>IF(T344="","",T344)</f>
        <v/>
      </c>
      <c r="AY344" s="1640"/>
      <c r="AZ344" s="1640"/>
      <c r="BA344" s="1658">
        <v>0</v>
      </c>
    </row>
    <row s="638" customFormat="1" customHeight="1" ht="0.75">
      <c r="A345" s="1359"/>
      <c r="B345" s="1359"/>
      <c r="C345" s="1359"/>
      <c r="D345" s="1359"/>
      <c r="E345" s="2275"/>
      <c r="F345" s="2275" t="s">
        <v>94</v>
      </c>
      <c r="G345" s="2275"/>
      <c r="H345" s="2275"/>
      <c r="I345" s="2302"/>
      <c r="J345" s="2272" t="str">
        <f>S343&amp;".1"</f>
        <v>2.5.1.1.1</v>
      </c>
      <c r="K345" s="1359"/>
      <c r="L345" s="1561"/>
      <c r="M345" s="526"/>
      <c r="N345" s="526"/>
      <c r="O345" s="526"/>
      <c r="P345" s="2390"/>
      <c r="Q345" s="2390">
        <v>1</v>
      </c>
      <c r="R345" s="373"/>
      <c r="S345" s="2320"/>
      <c r="T345" s="1415"/>
      <c r="U345" s="1400"/>
      <c r="V345" s="2313"/>
      <c r="W345" s="2313"/>
      <c r="X345" s="2313"/>
      <c r="Y345" s="2313"/>
      <c r="Z345" s="2313"/>
      <c r="AA345" s="2314"/>
      <c r="AB345" s="2312"/>
      <c r="AC345" s="2313"/>
      <c r="AD345" s="2313"/>
      <c r="AE345" s="2313"/>
      <c r="AF345" s="2313"/>
      <c r="AG345" s="2313"/>
      <c r="AH345" s="2313"/>
      <c r="AI345" s="2313"/>
      <c r="AJ345" s="2313"/>
      <c r="AK345" s="2313"/>
      <c r="AL345" s="2313"/>
      <c r="AM345" s="2313"/>
      <c r="AN345" s="2313"/>
      <c r="AO345" s="2313"/>
      <c r="AP345" s="2313"/>
      <c r="AQ345" s="2313"/>
      <c r="AR345" s="2313"/>
      <c r="AS345" s="2313"/>
      <c r="AT345" s="2314"/>
      <c r="AU345" s="1401"/>
      <c r="AV345" s="1658"/>
      <c r="AW345" s="1640"/>
      <c r="AX345" s="1640" t="str">
        <f>IF(T345="","",T345)</f>
        <v/>
      </c>
      <c r="AY345" s="1640"/>
      <c r="AZ345" s="1640"/>
      <c r="BA345" s="1658">
        <v>0</v>
      </c>
    </row>
    <row s="1866" customFormat="1" customHeight="1" ht="21">
      <c r="A346" s="1379"/>
      <c r="B346" s="1379"/>
      <c r="C346" s="1379"/>
      <c r="D346" s="1379"/>
      <c r="E346" s="2275"/>
      <c r="F346" s="2275" t="s">
        <v>94</v>
      </c>
      <c r="G346" s="2275"/>
      <c r="H346" s="2275"/>
      <c r="I346" s="2302"/>
      <c r="J346" s="2302"/>
      <c r="K346" s="2272" t="str">
        <f>S343&amp;".1"</f>
        <v>2.5.1.1.1</v>
      </c>
      <c r="L346" s="1385"/>
      <c r="M346" s="1792"/>
      <c r="N346" s="1792"/>
      <c r="O346" s="1792"/>
      <c r="P346" s="2390"/>
      <c r="Q346" s="2390"/>
      <c r="R346" s="2363">
        <v>1</v>
      </c>
      <c r="S346" s="2357" t="str">
        <f>$K346</f>
        <v>2.5.1.1.1</v>
      </c>
      <c r="T346" s="2360" t="s">
        <v>630</v>
      </c>
      <c r="U346" s="316"/>
      <c r="V346" s="767"/>
      <c r="W346" s="1273"/>
      <c r="X346" s="2618"/>
      <c r="Y346" s="2123" t="s">
        <v>64</v>
      </c>
      <c r="Z346" s="2618"/>
      <c r="AA346" s="2123" t="s">
        <v>64</v>
      </c>
      <c r="AB346" s="2123" t="s">
        <v>19</v>
      </c>
      <c r="AC346" s="2342"/>
      <c r="AD346" s="2453">
        <v>1</v>
      </c>
      <c r="AE346" s="2364" t="s">
        <v>28</v>
      </c>
      <c r="AF346" s="2123" t="s">
        <v>64</v>
      </c>
      <c r="AG346" s="2342"/>
      <c r="AH346" s="2453">
        <v>1</v>
      </c>
      <c r="AI346" s="2764" t="s">
        <v>632</v>
      </c>
      <c r="AJ346" s="2123" t="s">
        <v>64</v>
      </c>
      <c r="AK346" s="327"/>
      <c r="AL346" s="2453">
        <v>1</v>
      </c>
      <c r="AM346" s="3464" t="s">
        <v>633</v>
      </c>
      <c r="AN346" s="767"/>
      <c r="AO346" s="1273">
        <v>12162.451</v>
      </c>
      <c r="AP346" s="2618">
        <v>45909</v>
      </c>
      <c r="AQ346" s="2123" t="s">
        <v>64</v>
      </c>
      <c r="AR346" s="2618">
        <v>46022</v>
      </c>
      <c r="AS346" s="2123" t="s">
        <v>64</v>
      </c>
      <c r="AT346" s="1364"/>
      <c r="AU346" s="2269" t="s">
        <v>613</v>
      </c>
      <c r="AV346" s="1658">
        <f>STRCHECKDATE(V349:AT349)</f>
      </c>
      <c r="AW346" s="1640"/>
      <c r="AX346" s="1640" t="str">
        <f>IF(T346="","",T346)</f>
        <v>Котельная</v>
      </c>
      <c r="AY346" s="1640"/>
      <c r="AZ346" s="1640"/>
      <c r="BA346" s="1651">
        <v>0</v>
      </c>
    </row>
    <row s="1866" customFormat="1" customHeight="1" ht="11.25">
      <c r="A347" s="1379"/>
      <c r="B347" s="1379"/>
      <c r="C347" s="1379"/>
      <c r="D347" s="1379"/>
      <c r="E347" s="2275"/>
      <c r="F347" s="2275" t="s">
        <v>94</v>
      </c>
      <c r="G347" s="2275"/>
      <c r="H347" s="2275"/>
      <c r="I347" s="2302"/>
      <c r="J347" s="2302"/>
      <c r="K347" s="2272"/>
      <c r="L347" s="1385"/>
      <c r="M347" s="1792"/>
      <c r="N347" s="1792"/>
      <c r="O347" s="1792"/>
      <c r="P347" s="2390"/>
      <c r="Q347" s="2390"/>
      <c r="R347" s="2363"/>
      <c r="S347" s="2358"/>
      <c r="T347" s="2361"/>
      <c r="U347" s="316"/>
      <c r="V347" s="4206"/>
      <c r="W347" s="4207"/>
      <c r="X347" s="2618"/>
      <c r="Y347" s="2123"/>
      <c r="Z347" s="2618"/>
      <c r="AA347" s="2123"/>
      <c r="AB347" s="2123"/>
      <c r="AC347" s="2342"/>
      <c r="AD347" s="2453"/>
      <c r="AE347" s="2364" t="s">
        <v>28</v>
      </c>
      <c r="AF347" s="2123"/>
      <c r="AG347" s="2342"/>
      <c r="AH347" s="2453"/>
      <c r="AI347" s="2764" t="s">
        <v>28</v>
      </c>
      <c r="AJ347" s="2123"/>
      <c r="AK347" s="4208"/>
      <c r="AL347" s="4209"/>
      <c r="AM347" s="4210" t="s">
        <v>614</v>
      </c>
      <c r="AN347" s="4211"/>
      <c r="AO347" s="4212"/>
      <c r="AP347" s="4213"/>
      <c r="AQ347" s="4214"/>
      <c r="AR347" s="4215"/>
      <c r="AS347" s="4216"/>
      <c r="AT347" s="1406"/>
      <c r="AU347" s="2270"/>
      <c r="AV347" s="1658"/>
      <c r="AW347" s="1640"/>
      <c r="AX347" s="1640"/>
      <c r="AY347" s="1640"/>
      <c r="AZ347" s="1640"/>
      <c r="BA347" s="1651">
        <v>0</v>
      </c>
    </row>
    <row s="1866" customFormat="1" customHeight="1" ht="11.25">
      <c r="A348" s="1379"/>
      <c r="B348" s="1379"/>
      <c r="C348" s="1379"/>
      <c r="D348" s="1379"/>
      <c r="E348" s="2275"/>
      <c r="F348" s="2275" t="s">
        <v>94</v>
      </c>
      <c r="G348" s="2275"/>
      <c r="H348" s="2275"/>
      <c r="I348" s="2302"/>
      <c r="J348" s="2302"/>
      <c r="K348" s="2272"/>
      <c r="L348" s="1385"/>
      <c r="M348" s="1792"/>
      <c r="N348" s="1792"/>
      <c r="O348" s="1792"/>
      <c r="P348" s="2390"/>
      <c r="Q348" s="2390"/>
      <c r="R348" s="2363"/>
      <c r="S348" s="2358"/>
      <c r="T348" s="2361"/>
      <c r="U348" s="316"/>
      <c r="V348" s="4217"/>
      <c r="W348" s="4218"/>
      <c r="X348" s="2618"/>
      <c r="Y348" s="2123"/>
      <c r="Z348" s="2618"/>
      <c r="AA348" s="2123"/>
      <c r="AB348" s="2123"/>
      <c r="AC348" s="2342"/>
      <c r="AD348" s="2453"/>
      <c r="AE348" s="2364" t="s">
        <v>28</v>
      </c>
      <c r="AF348" s="2123"/>
      <c r="AG348" s="4219"/>
      <c r="AH348" s="4220"/>
      <c r="AI348" s="4221" t="s">
        <v>615</v>
      </c>
      <c r="AJ348" s="4222"/>
      <c r="AK348" s="4223"/>
      <c r="AL348" s="4224"/>
      <c r="AM348" s="4225"/>
      <c r="AN348" s="4226"/>
      <c r="AO348" s="4227"/>
      <c r="AP348" s="4228"/>
      <c r="AQ348" s="4229"/>
      <c r="AR348" s="4230"/>
      <c r="AS348" s="4231"/>
      <c r="AT348" s="1406"/>
      <c r="AU348" s="2270"/>
      <c r="AV348" s="1658"/>
      <c r="AW348" s="1640"/>
      <c r="AX348" s="1640"/>
      <c r="AY348" s="1640"/>
      <c r="AZ348" s="1640"/>
      <c r="BA348" s="1651">
        <v>0</v>
      </c>
    </row>
    <row s="1866" customFormat="1" customHeight="1" ht="11.25">
      <c r="A349" s="1379"/>
      <c r="B349" s="1379"/>
      <c r="C349" s="1379"/>
      <c r="D349" s="1379"/>
      <c r="E349" s="2275"/>
      <c r="F349" s="2275" t="s">
        <v>94</v>
      </c>
      <c r="G349" s="2275"/>
      <c r="H349" s="2275"/>
      <c r="I349" s="2302"/>
      <c r="J349" s="2302"/>
      <c r="K349" s="2272"/>
      <c r="L349" s="1385"/>
      <c r="M349" s="1792"/>
      <c r="N349" s="1792"/>
      <c r="O349" s="1792"/>
      <c r="P349" s="2390"/>
      <c r="Q349" s="2390"/>
      <c r="R349" s="2363"/>
      <c r="S349" s="2359"/>
      <c r="T349" s="2362"/>
      <c r="U349" s="316"/>
      <c r="V349" s="4232"/>
      <c r="W349" s="4233" t="str">
        <f>X346&amp;"-"&amp;Z346</f>
        <v>-</v>
      </c>
      <c r="X349" s="2325"/>
      <c r="Y349" s="2123"/>
      <c r="Z349" s="2325"/>
      <c r="AA349" s="2123"/>
      <c r="AB349" s="2123"/>
      <c r="AC349" s="4234"/>
      <c r="AD349" s="4235"/>
      <c r="AE349" s="4236" t="s">
        <v>616</v>
      </c>
      <c r="AF349" s="4237"/>
      <c r="AG349" s="4238"/>
      <c r="AH349" s="4239"/>
      <c r="AI349" s="4240"/>
      <c r="AJ349" s="4241"/>
      <c r="AK349" s="4242"/>
      <c r="AL349" s="4243"/>
      <c r="AM349" s="4244"/>
      <c r="AN349" s="4245"/>
      <c r="AO349" s="4246" t="str">
        <f>AP346&amp;"-"&amp;AR346</f>
        <v>45909-46022</v>
      </c>
      <c r="AP349" s="4247"/>
      <c r="AQ349" s="4248"/>
      <c r="AR349" s="4249"/>
      <c r="AS349" s="4250"/>
      <c r="AT349" s="1365"/>
      <c r="AU349" s="2270"/>
      <c r="AV349" s="1658"/>
      <c r="AW349" s="1640"/>
      <c r="AX349" s="1640" t="str">
        <f>IF(T349="","",T349)</f>
        <v/>
      </c>
      <c r="AY349" s="1640"/>
      <c r="AZ349" s="1640"/>
      <c r="BA349" s="1651">
        <v>0</v>
      </c>
    </row>
    <row s="1866" customFormat="1" customHeight="1" ht="11.25">
      <c r="A350" s="1379"/>
      <c r="B350" s="1379"/>
      <c r="C350" s="1379"/>
      <c r="D350" s="1379"/>
      <c r="E350" s="2275"/>
      <c r="F350" s="2275" t="s">
        <v>94</v>
      </c>
      <c r="G350" s="2275"/>
      <c r="H350" s="2275"/>
      <c r="I350" s="2302"/>
      <c r="J350" s="2272"/>
      <c r="K350" s="1379"/>
      <c r="L350" s="1385"/>
      <c r="M350" s="1792"/>
      <c r="N350" s="1792"/>
      <c r="O350" s="1792"/>
      <c r="P350" s="2390"/>
      <c r="Q350" s="2390"/>
      <c r="R350" s="372"/>
      <c r="S350" s="4251"/>
      <c r="T350" s="4252" t="s">
        <v>617</v>
      </c>
      <c r="U350" s="4253"/>
      <c r="V350" s="4254"/>
      <c r="W350" s="4255"/>
      <c r="X350" s="4256"/>
      <c r="Y350" s="4257"/>
      <c r="Z350" s="4258"/>
      <c r="AA350" s="4259"/>
      <c r="AB350" s="4260"/>
      <c r="AC350" s="4261"/>
      <c r="AD350" s="4262"/>
      <c r="AE350" s="4263"/>
      <c r="AF350" s="4264"/>
      <c r="AG350" s="4265"/>
      <c r="AH350" s="4266"/>
      <c r="AI350" s="4267"/>
      <c r="AJ350" s="4268"/>
      <c r="AK350" s="4269"/>
      <c r="AL350" s="4270"/>
      <c r="AM350" s="4271"/>
      <c r="AN350" s="4272"/>
      <c r="AO350" s="4273"/>
      <c r="AP350" s="4274"/>
      <c r="AQ350" s="4275"/>
      <c r="AR350" s="4276"/>
      <c r="AS350" s="4277"/>
      <c r="AT350" s="4278"/>
      <c r="AU350" s="2271"/>
      <c r="AV350" s="1658"/>
      <c r="AW350" s="1640"/>
      <c r="AX350" s="1640" t="str">
        <f>IF(T350="","",T350)</f>
        <v>Добавить строку</v>
      </c>
      <c r="AY350" s="1640"/>
      <c r="AZ350" s="1640"/>
      <c r="BA350" s="1651">
        <v>0</v>
      </c>
    </row>
    <row s="638" customFormat="1" customHeight="1" ht="0.75">
      <c r="A351" s="1359"/>
      <c r="B351" s="1359"/>
      <c r="C351" s="1359"/>
      <c r="D351" s="1359"/>
      <c r="E351" s="2275"/>
      <c r="F351" s="2275" t="s">
        <v>94</v>
      </c>
      <c r="G351" s="2275"/>
      <c r="H351" s="2275"/>
      <c r="I351" s="2272"/>
      <c r="J351" s="1359"/>
      <c r="K351" s="1359"/>
      <c r="L351" s="1561"/>
      <c r="M351" s="526"/>
      <c r="N351" s="526"/>
      <c r="O351" s="526"/>
      <c r="P351" s="2390"/>
      <c r="Q351" s="2390"/>
      <c r="R351" s="372"/>
      <c r="S351" s="1402"/>
      <c r="T351" s="1403"/>
      <c r="U351" s="1404"/>
      <c r="V351" s="1404"/>
      <c r="W351" s="1404"/>
      <c r="X351" s="1404"/>
      <c r="Y351" s="1404"/>
      <c r="Z351" s="1404"/>
      <c r="AA351" s="1404"/>
      <c r="AB351" s="1404"/>
      <c r="AC351" s="1404"/>
      <c r="AD351" s="1404"/>
      <c r="AE351" s="1404"/>
      <c r="AF351" s="1404"/>
      <c r="AG351" s="1404"/>
      <c r="AH351" s="1404"/>
      <c r="AI351" s="1404"/>
      <c r="AJ351" s="1404"/>
      <c r="AK351" s="1404"/>
      <c r="AL351" s="1404"/>
      <c r="AM351" s="1404"/>
      <c r="AN351" s="1404"/>
      <c r="AO351" s="1404"/>
      <c r="AP351" s="1404"/>
      <c r="AQ351" s="1404"/>
      <c r="AR351" s="1404"/>
      <c r="AS351" s="1404"/>
      <c r="AT351" s="1404"/>
      <c r="AU351" s="1405"/>
      <c r="AV351" s="1658"/>
      <c r="AW351" s="1640"/>
      <c r="AX351" s="1640" t="str">
        <f>IF(T351="","",T351)</f>
        <v/>
      </c>
      <c r="AY351" s="1640"/>
      <c r="AZ351" s="1640"/>
      <c r="BA351" s="1658">
        <v>0</v>
      </c>
    </row>
    <row s="638" customFormat="1" customHeight="1" ht="0.75">
      <c r="A352" s="1359"/>
      <c r="B352" s="1359"/>
      <c r="C352" s="1359"/>
      <c r="D352" s="1359"/>
      <c r="E352" s="2275"/>
      <c r="F352" s="2275" t="s">
        <v>94</v>
      </c>
      <c r="G352" s="2275"/>
      <c r="H352" s="2274"/>
      <c r="I352" s="1359"/>
      <c r="J352" s="1359"/>
      <c r="K352" s="1359"/>
      <c r="L352" s="1561"/>
      <c r="M352" s="1331"/>
      <c r="N352" s="1331"/>
      <c r="O352" s="1658"/>
      <c r="P352" s="1332"/>
      <c r="Q352" s="1360"/>
      <c r="R352" s="1417"/>
      <c r="S352" s="1402"/>
      <c r="T352" s="1403"/>
      <c r="U352" s="1404"/>
      <c r="V352" s="1404"/>
      <c r="W352" s="1404"/>
      <c r="X352" s="1404"/>
      <c r="Y352" s="1404"/>
      <c r="Z352" s="1404"/>
      <c r="AA352" s="1404"/>
      <c r="AB352" s="1404"/>
      <c r="AC352" s="1404"/>
      <c r="AD352" s="1404"/>
      <c r="AE352" s="1404"/>
      <c r="AF352" s="1404"/>
      <c r="AG352" s="1404"/>
      <c r="AH352" s="1404"/>
      <c r="AI352" s="1404"/>
      <c r="AJ352" s="1404"/>
      <c r="AK352" s="1404"/>
      <c r="AL352" s="1404"/>
      <c r="AM352" s="1404"/>
      <c r="AN352" s="1404"/>
      <c r="AO352" s="1404"/>
      <c r="AP352" s="1404"/>
      <c r="AQ352" s="1404"/>
      <c r="AR352" s="1404"/>
      <c r="AS352" s="1404"/>
      <c r="AT352" s="1404"/>
      <c r="AU352" s="1405"/>
      <c r="AV352" s="1658"/>
      <c r="AW352" s="1640"/>
      <c r="AX352" s="1640" t="str">
        <f>IF(T352="","",T352)</f>
        <v/>
      </c>
      <c r="AY352" s="1640"/>
      <c r="AZ352" s="1640"/>
      <c r="BA352" s="1658">
        <v>0</v>
      </c>
    </row>
    <row s="638" customFormat="1" customHeight="1" ht="0.75">
      <c r="A353" s="1359"/>
      <c r="B353" s="1359"/>
      <c r="C353" s="1359"/>
      <c r="D353" s="1359"/>
      <c r="E353" s="2275"/>
      <c r="F353" s="2275" t="s">
        <v>94</v>
      </c>
      <c r="G353" s="2274"/>
      <c r="H353" s="1359"/>
      <c r="I353" s="1359"/>
      <c r="J353" s="1359"/>
      <c r="K353" s="1359"/>
      <c r="L353" s="1561"/>
      <c r="M353" s="1331"/>
      <c r="N353" s="1331"/>
      <c r="O353" s="1658"/>
      <c r="P353" s="1332"/>
      <c r="Q353" s="1360"/>
      <c r="R353" s="1332"/>
      <c r="S353" s="1338"/>
      <c r="T353" s="1341" t="s">
        <v>268</v>
      </c>
      <c r="U353" s="1340"/>
      <c r="V353" s="1340"/>
      <c r="W353" s="1340"/>
      <c r="X353" s="1340"/>
      <c r="Y353" s="1340"/>
      <c r="Z353" s="1340"/>
      <c r="AA353" s="1340"/>
      <c r="AB353" s="1340"/>
      <c r="AC353" s="1340"/>
      <c r="AD353" s="1340"/>
      <c r="AE353" s="1340"/>
      <c r="AF353" s="1340"/>
      <c r="AG353" s="1340"/>
      <c r="AH353" s="1340"/>
      <c r="AI353" s="1340"/>
      <c r="AJ353" s="1340"/>
      <c r="AK353" s="1340"/>
      <c r="AL353" s="1340"/>
      <c r="AM353" s="1340"/>
      <c r="AN353" s="1340"/>
      <c r="AO353" s="1340"/>
      <c r="AP353" s="1340"/>
      <c r="AQ353" s="1340"/>
      <c r="AR353" s="1340"/>
      <c r="AS353" s="1340"/>
      <c r="AT353" s="1340"/>
      <c r="AU353" s="1340"/>
      <c r="AV353" s="1658"/>
      <c r="AW353" s="1640"/>
      <c r="AX353" s="1640" t="str">
        <f>IF(T353="","",T353)</f>
        <v>Добавить источник для дифференциации</v>
      </c>
      <c r="AY353" s="1640"/>
      <c r="AZ353" s="1640"/>
      <c r="BA353" s="1658">
        <v>0</v>
      </c>
    </row>
    <row s="638" customFormat="1" customHeight="1" ht="0.75">
      <c r="A354" s="1359"/>
      <c r="B354" s="1359"/>
      <c r="C354" s="1359"/>
      <c r="D354" s="1359"/>
      <c r="E354" s="2275"/>
      <c r="F354" s="2274" t="s">
        <v>94</v>
      </c>
      <c r="G354" s="1359"/>
      <c r="H354" s="1359"/>
      <c r="I354" s="1359"/>
      <c r="J354" s="1359"/>
      <c r="K354" s="1359"/>
      <c r="L354" s="1561"/>
      <c r="M354" s="1337"/>
      <c r="N354" s="1337"/>
      <c r="O354" s="1658"/>
      <c r="P354" s="1332"/>
      <c r="Q354" s="1360"/>
      <c r="R354" s="1332"/>
      <c r="S354" s="1338"/>
      <c r="T354" s="1341" t="s">
        <v>269</v>
      </c>
      <c r="U354" s="1340"/>
      <c r="V354" s="1340"/>
      <c r="W354" s="1340"/>
      <c r="X354" s="1340"/>
      <c r="Y354" s="1340"/>
      <c r="Z354" s="1340"/>
      <c r="AA354" s="1340"/>
      <c r="AB354" s="1340"/>
      <c r="AC354" s="1340"/>
      <c r="AD354" s="1340"/>
      <c r="AE354" s="1340"/>
      <c r="AF354" s="1340"/>
      <c r="AG354" s="1340"/>
      <c r="AH354" s="1340"/>
      <c r="AI354" s="1340"/>
      <c r="AJ354" s="1340"/>
      <c r="AK354" s="1340"/>
      <c r="AL354" s="1340"/>
      <c r="AM354" s="1340"/>
      <c r="AN354" s="1340"/>
      <c r="AO354" s="1340"/>
      <c r="AP354" s="1340"/>
      <c r="AQ354" s="1340"/>
      <c r="AR354" s="1340"/>
      <c r="AS354" s="1340"/>
      <c r="AT354" s="1340"/>
      <c r="AU354" s="1340"/>
      <c r="AV354" s="1658"/>
      <c r="AW354" s="1640"/>
      <c r="AX354" s="1640" t="str">
        <f>IF(T354="","",T354)</f>
        <v>Добавить централизованную систему для дифференциации</v>
      </c>
      <c r="AY354" s="1640"/>
      <c r="AZ354" s="1640"/>
      <c r="BA354" s="1658">
        <v>0</v>
      </c>
    </row>
    <row s="1866" customFormat="1" customHeight="1" ht="21">
      <c r="A355" s="1379"/>
      <c r="B355" s="1379" t="s">
        <v>350</v>
      </c>
      <c r="C355" s="1379"/>
      <c r="D355" s="1379"/>
      <c r="E355" s="2275"/>
      <c r="F355" s="2274" t="s">
        <v>95</v>
      </c>
      <c r="G355" s="1379"/>
      <c r="H355" s="1379"/>
      <c r="I355" s="1379"/>
      <c r="J355" s="1379"/>
      <c r="K355" s="1379"/>
      <c r="L355" s="1385"/>
      <c r="M355" s="1381"/>
      <c r="N355" s="1381"/>
      <c r="O355" s="1381"/>
      <c r="P355" s="2623"/>
      <c r="Q355" s="1427"/>
      <c r="R355" s="369"/>
      <c r="S355" s="2289" t="str">
        <f>INDEX(PT_DIFFERENTIATION_NUM_TER,MATCH(B355,PT_DIFFERENTIATION_TER_ID,0))</f>
        <v>2.6</v>
      </c>
      <c r="T355" s="1538" t="s">
        <v>550</v>
      </c>
      <c r="U355" s="316"/>
      <c r="V355" s="2259"/>
      <c r="W355" s="2259"/>
      <c r="X355" s="2259"/>
      <c r="Y355" s="2259"/>
      <c r="Z355" s="2259"/>
      <c r="AA355" s="2260"/>
      <c r="AB355" s="2258" t="str">
        <f>INDEX(PT_DIFFERENTIATION_TER,MATCH(B355,PT_DIFFERENTIATION_TER_ID,0))</f>
        <v>Территория 16</v>
      </c>
      <c r="AC355" s="2259"/>
      <c r="AD355" s="2259"/>
      <c r="AE355" s="2259"/>
      <c r="AF355" s="2259"/>
      <c r="AG355" s="2259"/>
      <c r="AH355" s="2259"/>
      <c r="AI355" s="2259"/>
      <c r="AJ355" s="2259"/>
      <c r="AK355" s="2259"/>
      <c r="AL355" s="2259"/>
      <c r="AM355" s="2259"/>
      <c r="AN355" s="2259"/>
      <c r="AO355" s="2259"/>
      <c r="AP355" s="2259"/>
      <c r="AQ355" s="2259"/>
      <c r="AR355" s="2259"/>
      <c r="AS355" s="2259"/>
      <c r="AT355" s="2260"/>
      <c r="AU355" s="1274" t="s">
        <v>551</v>
      </c>
      <c r="AV355" s="1658"/>
      <c r="AW355" s="1640"/>
      <c r="AX355" s="1640" t="str">
        <f>IF(T355="","",T355)</f>
        <v>Территория действия тарифа</v>
      </c>
      <c r="AY355" s="1640"/>
      <c r="AZ355" s="1640"/>
      <c r="BA355" s="1651">
        <v>0</v>
      </c>
    </row>
    <row s="1866" customFormat="1" customHeight="1" ht="22.5">
      <c r="A356" s="1379"/>
      <c r="B356" s="1379"/>
      <c r="C356" s="1379" t="s">
        <v>351</v>
      </c>
      <c r="D356" s="1379"/>
      <c r="E356" s="2275"/>
      <c r="F356" s="2275" t="s">
        <v>122</v>
      </c>
      <c r="G356" s="2274">
        <v>1</v>
      </c>
      <c r="H356" s="1379"/>
      <c r="I356" s="1379"/>
      <c r="J356" s="1379"/>
      <c r="K356" s="1379"/>
      <c r="L356" s="1385"/>
      <c r="M356" s="1381"/>
      <c r="N356" s="1381"/>
      <c r="O356" s="1381"/>
      <c r="P356" s="1428"/>
      <c r="Q356" s="1427"/>
      <c r="R356" s="369"/>
      <c r="S356" s="2289" t="str">
        <f>INDEX(PT_DIFFERENTIATION_NUM_CS,MATCH(C356,PT_DIFFERENTIATION_CS_ID,0))</f>
        <v>2.6.1</v>
      </c>
      <c r="T356" s="325" t="s">
        <v>552</v>
      </c>
      <c r="U356" s="316"/>
      <c r="V356" s="2259"/>
      <c r="W356" s="2259"/>
      <c r="X356" s="2259"/>
      <c r="Y356" s="2259"/>
      <c r="Z356" s="2259"/>
      <c r="AA356" s="2260"/>
      <c r="AB356" s="2258" t="str">
        <f>INDEX(PT_DIFFERENTIATION_CS,MATCH(C356,PT_DIFFERENTIATION_CS_ID,0))</f>
        <v>с. Новопокровка, Красноармейский Муниципальный округ</v>
      </c>
      <c r="AC356" s="2259"/>
      <c r="AD356" s="2259"/>
      <c r="AE356" s="2259"/>
      <c r="AF356" s="2259"/>
      <c r="AG356" s="2259"/>
      <c r="AH356" s="2259"/>
      <c r="AI356" s="2259"/>
      <c r="AJ356" s="2259"/>
      <c r="AK356" s="2259"/>
      <c r="AL356" s="2259"/>
      <c r="AM356" s="2259"/>
      <c r="AN356" s="2259"/>
      <c r="AO356" s="2259"/>
      <c r="AP356" s="2259"/>
      <c r="AQ356" s="2259"/>
      <c r="AR356" s="2259"/>
      <c r="AS356" s="2259"/>
      <c r="AT356" s="2260"/>
      <c r="AU356" s="1274" t="s">
        <v>553</v>
      </c>
      <c r="AV356" s="1658"/>
      <c r="AW356" s="1640"/>
      <c r="AX356" s="1640" t="str">
        <f>IF(T356="","",T356)</f>
        <v>Наименование системы теплоснабжения </v>
      </c>
      <c r="AY356" s="1640"/>
      <c r="AZ356" s="1640"/>
      <c r="BA356" s="1651">
        <v>0</v>
      </c>
    </row>
    <row s="1866" customFormat="1" customHeight="1" ht="21">
      <c r="A357" s="1379"/>
      <c r="B357" s="1379"/>
      <c r="C357" s="1379"/>
      <c r="D357" s="1379" t="s">
        <v>352</v>
      </c>
      <c r="E357" s="2275"/>
      <c r="F357" s="2275" t="s">
        <v>122</v>
      </c>
      <c r="G357" s="2275"/>
      <c r="H357" s="2274">
        <v>1</v>
      </c>
      <c r="I357" s="1379"/>
      <c r="J357" s="1379"/>
      <c r="K357" s="1379"/>
      <c r="L357" s="1385"/>
      <c r="M357" s="1381"/>
      <c r="N357" s="1381"/>
      <c r="O357" s="1381"/>
      <c r="P357" s="1428"/>
      <c r="Q357" s="1427"/>
      <c r="R357" s="369"/>
      <c r="S357" s="2289" t="str">
        <f>INDEX(PT_DIFFERENTIATION_NUM_IST_TE,MATCH(D357,PT_DIFFERENTIATION_IST_TE_ID,0))</f>
        <v>2.6.1.1</v>
      </c>
      <c r="T357" s="326" t="s">
        <v>554</v>
      </c>
      <c r="U357" s="316"/>
      <c r="V357" s="2259"/>
      <c r="W357" s="2259"/>
      <c r="X357" s="2259"/>
      <c r="Y357" s="2259"/>
      <c r="Z357" s="2259"/>
      <c r="AA357" s="2260"/>
      <c r="AB357" s="2258" t="str">
        <f>INDEX(PT_DIFFERENTIATION_IST_TE,MATCH(D357,PT_DIFFERENTIATION_IST_TE_ID,0))</f>
        <v>без дифференциации</v>
      </c>
      <c r="AC357" s="2259"/>
      <c r="AD357" s="2259"/>
      <c r="AE357" s="2259"/>
      <c r="AF357" s="2259"/>
      <c r="AG357" s="2259"/>
      <c r="AH357" s="2259"/>
      <c r="AI357" s="2259"/>
      <c r="AJ357" s="2259"/>
      <c r="AK357" s="2259"/>
      <c r="AL357" s="2259"/>
      <c r="AM357" s="2259"/>
      <c r="AN357" s="2259"/>
      <c r="AO357" s="2259"/>
      <c r="AP357" s="2259"/>
      <c r="AQ357" s="2259"/>
      <c r="AR357" s="2259"/>
      <c r="AS357" s="2259"/>
      <c r="AT357" s="2260"/>
      <c r="AU357" s="1274" t="s">
        <v>555</v>
      </c>
      <c r="AV357" s="1658"/>
      <c r="AW357" s="1640"/>
      <c r="AX357" s="1640" t="str">
        <f>IF(T357="","",T357)</f>
        <v>Источник тепловой энергии  </v>
      </c>
      <c r="AY357" s="1640"/>
      <c r="AZ357" s="1640"/>
      <c r="BA357" s="1651">
        <v>0</v>
      </c>
    </row>
    <row s="638" customFormat="1" customHeight="1" ht="0.75">
      <c r="A358" s="1359"/>
      <c r="B358" s="1359"/>
      <c r="C358" s="1359"/>
      <c r="D358" s="1359"/>
      <c r="E358" s="2275"/>
      <c r="F358" s="2275" t="s">
        <v>122</v>
      </c>
      <c r="G358" s="2275"/>
      <c r="H358" s="2275"/>
      <c r="I358" s="2272" t="str">
        <f>S357&amp;".1"</f>
        <v>2.6.1.1.1</v>
      </c>
      <c r="J358" s="1359"/>
      <c r="K358" s="1359"/>
      <c r="L358" s="1561" t="s">
        <v>556</v>
      </c>
      <c r="M358" s="526"/>
      <c r="N358" s="526"/>
      <c r="O358" s="526"/>
      <c r="P358" s="2390">
        <v>1</v>
      </c>
      <c r="Q358" s="2390"/>
      <c r="R358" s="372"/>
      <c r="S358" s="2320"/>
      <c r="T358" s="1399"/>
      <c r="U358" s="1400"/>
      <c r="V358" s="2313"/>
      <c r="W358" s="2313"/>
      <c r="X358" s="2313"/>
      <c r="Y358" s="2313"/>
      <c r="Z358" s="2313"/>
      <c r="AA358" s="2314"/>
      <c r="AB358" s="2312"/>
      <c r="AC358" s="2313"/>
      <c r="AD358" s="2313"/>
      <c r="AE358" s="2313"/>
      <c r="AF358" s="2313"/>
      <c r="AG358" s="2313"/>
      <c r="AH358" s="2313"/>
      <c r="AI358" s="2313"/>
      <c r="AJ358" s="2313"/>
      <c r="AK358" s="2313"/>
      <c r="AL358" s="2313"/>
      <c r="AM358" s="2313"/>
      <c r="AN358" s="2313"/>
      <c r="AO358" s="2313"/>
      <c r="AP358" s="2313"/>
      <c r="AQ358" s="2313"/>
      <c r="AR358" s="2313"/>
      <c r="AS358" s="2313"/>
      <c r="AT358" s="2314"/>
      <c r="AU358" s="1401"/>
      <c r="AV358" s="1658"/>
      <c r="AW358" s="1640"/>
      <c r="AX358" s="1640" t="str">
        <f>IF(T358="","",T358)</f>
        <v/>
      </c>
      <c r="AY358" s="1640"/>
      <c r="AZ358" s="1640"/>
      <c r="BA358" s="1658">
        <v>0</v>
      </c>
    </row>
    <row s="638" customFormat="1" customHeight="1" ht="0.75">
      <c r="A359" s="1359"/>
      <c r="B359" s="1359"/>
      <c r="C359" s="1359"/>
      <c r="D359" s="1359"/>
      <c r="E359" s="2275"/>
      <c r="F359" s="2275" t="s">
        <v>122</v>
      </c>
      <c r="G359" s="2275"/>
      <c r="H359" s="2275"/>
      <c r="I359" s="2302"/>
      <c r="J359" s="2272" t="str">
        <f>S357&amp;".1"</f>
        <v>2.6.1.1.1</v>
      </c>
      <c r="K359" s="1359"/>
      <c r="L359" s="1561"/>
      <c r="M359" s="526"/>
      <c r="N359" s="526"/>
      <c r="O359" s="526"/>
      <c r="P359" s="2390"/>
      <c r="Q359" s="2390">
        <v>1</v>
      </c>
      <c r="R359" s="373"/>
      <c r="S359" s="2320"/>
      <c r="T359" s="1415"/>
      <c r="U359" s="1400"/>
      <c r="V359" s="2313"/>
      <c r="W359" s="2313"/>
      <c r="X359" s="2313"/>
      <c r="Y359" s="2313"/>
      <c r="Z359" s="2313"/>
      <c r="AA359" s="2314"/>
      <c r="AB359" s="2312"/>
      <c r="AC359" s="2313"/>
      <c r="AD359" s="2313"/>
      <c r="AE359" s="2313"/>
      <c r="AF359" s="2313"/>
      <c r="AG359" s="2313"/>
      <c r="AH359" s="2313"/>
      <c r="AI359" s="2313"/>
      <c r="AJ359" s="2313"/>
      <c r="AK359" s="2313"/>
      <c r="AL359" s="2313"/>
      <c r="AM359" s="2313"/>
      <c r="AN359" s="2313"/>
      <c r="AO359" s="2313"/>
      <c r="AP359" s="2313"/>
      <c r="AQ359" s="2313"/>
      <c r="AR359" s="2313"/>
      <c r="AS359" s="2313"/>
      <c r="AT359" s="2314"/>
      <c r="AU359" s="1401"/>
      <c r="AV359" s="1658"/>
      <c r="AW359" s="1640"/>
      <c r="AX359" s="1640" t="str">
        <f>IF(T359="","",T359)</f>
        <v/>
      </c>
      <c r="AY359" s="1640"/>
      <c r="AZ359" s="1640"/>
      <c r="BA359" s="1658">
        <v>0</v>
      </c>
    </row>
    <row s="1866" customFormat="1" customHeight="1" ht="21">
      <c r="A360" s="1379"/>
      <c r="B360" s="1379"/>
      <c r="C360" s="1379"/>
      <c r="D360" s="1379"/>
      <c r="E360" s="2275"/>
      <c r="F360" s="2275" t="s">
        <v>122</v>
      </c>
      <c r="G360" s="2275"/>
      <c r="H360" s="2275"/>
      <c r="I360" s="2302"/>
      <c r="J360" s="2302"/>
      <c r="K360" s="2272" t="str">
        <f>S357&amp;".1"</f>
        <v>2.6.1.1.1</v>
      </c>
      <c r="L360" s="1385"/>
      <c r="M360" s="1792"/>
      <c r="N360" s="1792"/>
      <c r="O360" s="1792"/>
      <c r="P360" s="2390"/>
      <c r="Q360" s="2390"/>
      <c r="R360" s="2363">
        <v>1</v>
      </c>
      <c r="S360" s="2357" t="str">
        <f>$K360</f>
        <v>2.6.1.1.1</v>
      </c>
      <c r="T360" s="2360" t="s">
        <v>630</v>
      </c>
      <c r="U360" s="316"/>
      <c r="V360" s="767"/>
      <c r="W360" s="1273"/>
      <c r="X360" s="2618"/>
      <c r="Y360" s="2123" t="s">
        <v>64</v>
      </c>
      <c r="Z360" s="2618"/>
      <c r="AA360" s="2123" t="s">
        <v>64</v>
      </c>
      <c r="AB360" s="2123" t="s">
        <v>19</v>
      </c>
      <c r="AC360" s="2342"/>
      <c r="AD360" s="2453">
        <v>1</v>
      </c>
      <c r="AE360" s="2364" t="s">
        <v>28</v>
      </c>
      <c r="AF360" s="2123" t="s">
        <v>64</v>
      </c>
      <c r="AG360" s="2342"/>
      <c r="AH360" s="2453">
        <v>1</v>
      </c>
      <c r="AI360" s="2764" t="s">
        <v>632</v>
      </c>
      <c r="AJ360" s="2123" t="s">
        <v>64</v>
      </c>
      <c r="AK360" s="327"/>
      <c r="AL360" s="2453">
        <v>1</v>
      </c>
      <c r="AM360" s="3464" t="s">
        <v>633</v>
      </c>
      <c r="AN360" s="767"/>
      <c r="AO360" s="1273">
        <v>8412.458</v>
      </c>
      <c r="AP360" s="2618">
        <v>45909</v>
      </c>
      <c r="AQ360" s="2123" t="s">
        <v>64</v>
      </c>
      <c r="AR360" s="2618">
        <v>46022</v>
      </c>
      <c r="AS360" s="2123" t="s">
        <v>64</v>
      </c>
      <c r="AT360" s="1364"/>
      <c r="AU360" s="2269" t="s">
        <v>613</v>
      </c>
      <c r="AV360" s="1658">
        <f>STRCHECKDATE(V363:AT363)</f>
      </c>
      <c r="AW360" s="1640"/>
      <c r="AX360" s="1640" t="str">
        <f>IF(T360="","",T360)</f>
        <v>Котельная</v>
      </c>
      <c r="AY360" s="1640"/>
      <c r="AZ360" s="1640"/>
      <c r="BA360" s="1651">
        <v>0</v>
      </c>
    </row>
    <row s="1866" customFormat="1" customHeight="1" ht="11.25">
      <c r="A361" s="1379"/>
      <c r="B361" s="1379"/>
      <c r="C361" s="1379"/>
      <c r="D361" s="1379"/>
      <c r="E361" s="2275"/>
      <c r="F361" s="2275" t="s">
        <v>122</v>
      </c>
      <c r="G361" s="2275"/>
      <c r="H361" s="2275"/>
      <c r="I361" s="2302"/>
      <c r="J361" s="2302"/>
      <c r="K361" s="2272"/>
      <c r="L361" s="1385"/>
      <c r="M361" s="1792"/>
      <c r="N361" s="1792"/>
      <c r="O361" s="1792"/>
      <c r="P361" s="2390"/>
      <c r="Q361" s="2390"/>
      <c r="R361" s="2363"/>
      <c r="S361" s="2358"/>
      <c r="T361" s="2361"/>
      <c r="U361" s="316"/>
      <c r="V361" s="4279"/>
      <c r="W361" s="4280"/>
      <c r="X361" s="2618"/>
      <c r="Y361" s="2123"/>
      <c r="Z361" s="2618"/>
      <c r="AA361" s="2123"/>
      <c r="AB361" s="2123"/>
      <c r="AC361" s="2342"/>
      <c r="AD361" s="2453"/>
      <c r="AE361" s="2364" t="s">
        <v>28</v>
      </c>
      <c r="AF361" s="2123"/>
      <c r="AG361" s="2342"/>
      <c r="AH361" s="2453"/>
      <c r="AI361" s="2764" t="s">
        <v>28</v>
      </c>
      <c r="AJ361" s="2123"/>
      <c r="AK361" s="4281"/>
      <c r="AL361" s="4282"/>
      <c r="AM361" s="4283" t="s">
        <v>614</v>
      </c>
      <c r="AN361" s="4284"/>
      <c r="AO361" s="4285"/>
      <c r="AP361" s="4286"/>
      <c r="AQ361" s="4287"/>
      <c r="AR361" s="4288"/>
      <c r="AS361" s="4289"/>
      <c r="AT361" s="1406"/>
      <c r="AU361" s="2270"/>
      <c r="AV361" s="1658"/>
      <c r="AW361" s="1640"/>
      <c r="AX361" s="1640"/>
      <c r="AY361" s="1640"/>
      <c r="AZ361" s="1640"/>
      <c r="BA361" s="1651">
        <v>0</v>
      </c>
    </row>
    <row s="1866" customFormat="1" customHeight="1" ht="11.25">
      <c r="A362" s="1379"/>
      <c r="B362" s="1379"/>
      <c r="C362" s="1379"/>
      <c r="D362" s="1379"/>
      <c r="E362" s="2275"/>
      <c r="F362" s="2275" t="s">
        <v>122</v>
      </c>
      <c r="G362" s="2275"/>
      <c r="H362" s="2275"/>
      <c r="I362" s="2302"/>
      <c r="J362" s="2302"/>
      <c r="K362" s="2272"/>
      <c r="L362" s="1385"/>
      <c r="M362" s="1792"/>
      <c r="N362" s="1792"/>
      <c r="O362" s="1792"/>
      <c r="P362" s="2390"/>
      <c r="Q362" s="2390"/>
      <c r="R362" s="2363"/>
      <c r="S362" s="2358"/>
      <c r="T362" s="2361"/>
      <c r="U362" s="316"/>
      <c r="V362" s="4290"/>
      <c r="W362" s="4291"/>
      <c r="X362" s="2618"/>
      <c r="Y362" s="2123"/>
      <c r="Z362" s="2618"/>
      <c r="AA362" s="2123"/>
      <c r="AB362" s="2123"/>
      <c r="AC362" s="2342"/>
      <c r="AD362" s="2453"/>
      <c r="AE362" s="2364" t="s">
        <v>28</v>
      </c>
      <c r="AF362" s="2123"/>
      <c r="AG362" s="4292"/>
      <c r="AH362" s="4293"/>
      <c r="AI362" s="4294" t="s">
        <v>615</v>
      </c>
      <c r="AJ362" s="4295"/>
      <c r="AK362" s="4296"/>
      <c r="AL362" s="4297"/>
      <c r="AM362" s="4298"/>
      <c r="AN362" s="4299"/>
      <c r="AO362" s="4300"/>
      <c r="AP362" s="4301"/>
      <c r="AQ362" s="4302"/>
      <c r="AR362" s="4303"/>
      <c r="AS362" s="4304"/>
      <c r="AT362" s="1406"/>
      <c r="AU362" s="2270"/>
      <c r="AV362" s="1658"/>
      <c r="AW362" s="1640"/>
      <c r="AX362" s="1640"/>
      <c r="AY362" s="1640"/>
      <c r="AZ362" s="1640"/>
      <c r="BA362" s="1651">
        <v>0</v>
      </c>
    </row>
    <row s="1866" customFormat="1" customHeight="1" ht="11.25">
      <c r="A363" s="1379"/>
      <c r="B363" s="1379"/>
      <c r="C363" s="1379"/>
      <c r="D363" s="1379"/>
      <c r="E363" s="2275"/>
      <c r="F363" s="2275" t="s">
        <v>122</v>
      </c>
      <c r="G363" s="2275"/>
      <c r="H363" s="2275"/>
      <c r="I363" s="2302"/>
      <c r="J363" s="2302"/>
      <c r="K363" s="2272"/>
      <c r="L363" s="1385"/>
      <c r="M363" s="1792"/>
      <c r="N363" s="1792"/>
      <c r="O363" s="1792"/>
      <c r="P363" s="2390"/>
      <c r="Q363" s="2390"/>
      <c r="R363" s="2363"/>
      <c r="S363" s="2359"/>
      <c r="T363" s="2362"/>
      <c r="U363" s="316"/>
      <c r="V363" s="4305"/>
      <c r="W363" s="4306" t="str">
        <f>X360&amp;"-"&amp;Z360</f>
        <v>-</v>
      </c>
      <c r="X363" s="2325"/>
      <c r="Y363" s="2123"/>
      <c r="Z363" s="2325"/>
      <c r="AA363" s="2123"/>
      <c r="AB363" s="2123"/>
      <c r="AC363" s="4307"/>
      <c r="AD363" s="4308"/>
      <c r="AE363" s="4309" t="s">
        <v>616</v>
      </c>
      <c r="AF363" s="4310"/>
      <c r="AG363" s="4311"/>
      <c r="AH363" s="4312"/>
      <c r="AI363" s="4313"/>
      <c r="AJ363" s="4314"/>
      <c r="AK363" s="4315"/>
      <c r="AL363" s="4316"/>
      <c r="AM363" s="4317"/>
      <c r="AN363" s="4318"/>
      <c r="AO363" s="4319" t="str">
        <f>AP360&amp;"-"&amp;AR360</f>
        <v>45909-46022</v>
      </c>
      <c r="AP363" s="4320"/>
      <c r="AQ363" s="4321"/>
      <c r="AR363" s="4322"/>
      <c r="AS363" s="4323"/>
      <c r="AT363" s="1365"/>
      <c r="AU363" s="2270"/>
      <c r="AV363" s="1658"/>
      <c r="AW363" s="1640"/>
      <c r="AX363" s="1640" t="str">
        <f>IF(T363="","",T363)</f>
        <v/>
      </c>
      <c r="AY363" s="1640"/>
      <c r="AZ363" s="1640"/>
      <c r="BA363" s="1651">
        <v>0</v>
      </c>
    </row>
    <row s="1866" customFormat="1" customHeight="1" ht="11.25">
      <c r="A364" s="1379"/>
      <c r="B364" s="1379"/>
      <c r="C364" s="1379"/>
      <c r="D364" s="1379"/>
      <c r="E364" s="2275"/>
      <c r="F364" s="2275" t="s">
        <v>122</v>
      </c>
      <c r="G364" s="2275"/>
      <c r="H364" s="2275"/>
      <c r="I364" s="2302"/>
      <c r="J364" s="2272"/>
      <c r="K364" s="1379"/>
      <c r="L364" s="1385"/>
      <c r="M364" s="1792"/>
      <c r="N364" s="1792"/>
      <c r="O364" s="1792"/>
      <c r="P364" s="2390"/>
      <c r="Q364" s="2390"/>
      <c r="R364" s="372"/>
      <c r="S364" s="4324"/>
      <c r="T364" s="4325" t="s">
        <v>617</v>
      </c>
      <c r="U364" s="4326"/>
      <c r="V364" s="4327"/>
      <c r="W364" s="4328"/>
      <c r="X364" s="4329"/>
      <c r="Y364" s="4330"/>
      <c r="Z364" s="4331"/>
      <c r="AA364" s="4332"/>
      <c r="AB364" s="4333"/>
      <c r="AC364" s="4334"/>
      <c r="AD364" s="4335"/>
      <c r="AE364" s="4336"/>
      <c r="AF364" s="4337"/>
      <c r="AG364" s="4338"/>
      <c r="AH364" s="4339"/>
      <c r="AI364" s="4340"/>
      <c r="AJ364" s="4341"/>
      <c r="AK364" s="4342"/>
      <c r="AL364" s="4343"/>
      <c r="AM364" s="4344"/>
      <c r="AN364" s="4345"/>
      <c r="AO364" s="4346"/>
      <c r="AP364" s="4347"/>
      <c r="AQ364" s="4348"/>
      <c r="AR364" s="4349"/>
      <c r="AS364" s="4350"/>
      <c r="AT364" s="4351"/>
      <c r="AU364" s="2271"/>
      <c r="AV364" s="1658"/>
      <c r="AW364" s="1640"/>
      <c r="AX364" s="1640" t="str">
        <f>IF(T364="","",T364)</f>
        <v>Добавить строку</v>
      </c>
      <c r="AY364" s="1640"/>
      <c r="AZ364" s="1640"/>
      <c r="BA364" s="1651">
        <v>0</v>
      </c>
    </row>
    <row s="638" customFormat="1" customHeight="1" ht="0.75">
      <c r="A365" s="1359"/>
      <c r="B365" s="1359"/>
      <c r="C365" s="1359"/>
      <c r="D365" s="1359"/>
      <c r="E365" s="2275"/>
      <c r="F365" s="2275" t="s">
        <v>122</v>
      </c>
      <c r="G365" s="2275"/>
      <c r="H365" s="2275"/>
      <c r="I365" s="2272"/>
      <c r="J365" s="1359"/>
      <c r="K365" s="1359"/>
      <c r="L365" s="1561"/>
      <c r="M365" s="526"/>
      <c r="N365" s="526"/>
      <c r="O365" s="526"/>
      <c r="P365" s="2390"/>
      <c r="Q365" s="2390"/>
      <c r="R365" s="372"/>
      <c r="S365" s="1402"/>
      <c r="T365" s="1403"/>
      <c r="U365" s="1404"/>
      <c r="V365" s="1404"/>
      <c r="W365" s="1404"/>
      <c r="X365" s="1404"/>
      <c r="Y365" s="1404"/>
      <c r="Z365" s="1404"/>
      <c r="AA365" s="1404"/>
      <c r="AB365" s="1404"/>
      <c r="AC365" s="1404"/>
      <c r="AD365" s="1404"/>
      <c r="AE365" s="1404"/>
      <c r="AF365" s="1404"/>
      <c r="AG365" s="1404"/>
      <c r="AH365" s="1404"/>
      <c r="AI365" s="1404"/>
      <c r="AJ365" s="1404"/>
      <c r="AK365" s="1404"/>
      <c r="AL365" s="1404"/>
      <c r="AM365" s="1404"/>
      <c r="AN365" s="1404"/>
      <c r="AO365" s="1404"/>
      <c r="AP365" s="1404"/>
      <c r="AQ365" s="1404"/>
      <c r="AR365" s="1404"/>
      <c r="AS365" s="1404"/>
      <c r="AT365" s="1404"/>
      <c r="AU365" s="1405"/>
      <c r="AV365" s="1658"/>
      <c r="AW365" s="1640"/>
      <c r="AX365" s="1640" t="str">
        <f>IF(T365="","",T365)</f>
        <v/>
      </c>
      <c r="AY365" s="1640"/>
      <c r="AZ365" s="1640"/>
      <c r="BA365" s="1658">
        <v>0</v>
      </c>
    </row>
    <row s="638" customFormat="1" customHeight="1" ht="0.75">
      <c r="A366" s="1359"/>
      <c r="B366" s="1359"/>
      <c r="C366" s="1359"/>
      <c r="D366" s="1359"/>
      <c r="E366" s="2275"/>
      <c r="F366" s="2275" t="s">
        <v>122</v>
      </c>
      <c r="G366" s="2275"/>
      <c r="H366" s="2274"/>
      <c r="I366" s="1359"/>
      <c r="J366" s="1359"/>
      <c r="K366" s="1359"/>
      <c r="L366" s="1561"/>
      <c r="M366" s="1331"/>
      <c r="N366" s="1331"/>
      <c r="O366" s="1658"/>
      <c r="P366" s="1332"/>
      <c r="Q366" s="1360"/>
      <c r="R366" s="1417"/>
      <c r="S366" s="1402"/>
      <c r="T366" s="1403"/>
      <c r="U366" s="1404"/>
      <c r="V366" s="1404"/>
      <c r="W366" s="1404"/>
      <c r="X366" s="1404"/>
      <c r="Y366" s="1404"/>
      <c r="Z366" s="1404"/>
      <c r="AA366" s="1404"/>
      <c r="AB366" s="1404"/>
      <c r="AC366" s="1404"/>
      <c r="AD366" s="1404"/>
      <c r="AE366" s="1404"/>
      <c r="AF366" s="1404"/>
      <c r="AG366" s="1404"/>
      <c r="AH366" s="1404"/>
      <c r="AI366" s="1404"/>
      <c r="AJ366" s="1404"/>
      <c r="AK366" s="1404"/>
      <c r="AL366" s="1404"/>
      <c r="AM366" s="1404"/>
      <c r="AN366" s="1404"/>
      <c r="AO366" s="1404"/>
      <c r="AP366" s="1404"/>
      <c r="AQ366" s="1404"/>
      <c r="AR366" s="1404"/>
      <c r="AS366" s="1404"/>
      <c r="AT366" s="1404"/>
      <c r="AU366" s="1405"/>
      <c r="AV366" s="1658"/>
      <c r="AW366" s="1640"/>
      <c r="AX366" s="1640" t="str">
        <f>IF(T366="","",T366)</f>
        <v/>
      </c>
      <c r="AY366" s="1640"/>
      <c r="AZ366" s="1640"/>
      <c r="BA366" s="1658">
        <v>0</v>
      </c>
    </row>
    <row s="638" customFormat="1" customHeight="1" ht="0.75">
      <c r="A367" s="1359"/>
      <c r="B367" s="1359"/>
      <c r="C367" s="1359"/>
      <c r="D367" s="1359"/>
      <c r="E367" s="2275"/>
      <c r="F367" s="2275" t="s">
        <v>122</v>
      </c>
      <c r="G367" s="2274"/>
      <c r="H367" s="1359"/>
      <c r="I367" s="1359"/>
      <c r="J367" s="1359"/>
      <c r="K367" s="1359"/>
      <c r="L367" s="1561"/>
      <c r="M367" s="1331"/>
      <c r="N367" s="1331"/>
      <c r="O367" s="1658"/>
      <c r="P367" s="1332"/>
      <c r="Q367" s="1360"/>
      <c r="R367" s="1332"/>
      <c r="S367" s="1338"/>
      <c r="T367" s="1341" t="s">
        <v>268</v>
      </c>
      <c r="U367" s="1340"/>
      <c r="V367" s="1340"/>
      <c r="W367" s="1340"/>
      <c r="X367" s="1340"/>
      <c r="Y367" s="1340"/>
      <c r="Z367" s="1340"/>
      <c r="AA367" s="1340"/>
      <c r="AB367" s="1340"/>
      <c r="AC367" s="1340"/>
      <c r="AD367" s="1340"/>
      <c r="AE367" s="1340"/>
      <c r="AF367" s="1340"/>
      <c r="AG367" s="1340"/>
      <c r="AH367" s="1340"/>
      <c r="AI367" s="1340"/>
      <c r="AJ367" s="1340"/>
      <c r="AK367" s="1340"/>
      <c r="AL367" s="1340"/>
      <c r="AM367" s="1340"/>
      <c r="AN367" s="1340"/>
      <c r="AO367" s="1340"/>
      <c r="AP367" s="1340"/>
      <c r="AQ367" s="1340"/>
      <c r="AR367" s="1340"/>
      <c r="AS367" s="1340"/>
      <c r="AT367" s="1340"/>
      <c r="AU367" s="1340"/>
      <c r="AV367" s="1658"/>
      <c r="AW367" s="1640"/>
      <c r="AX367" s="1640" t="str">
        <f>IF(T367="","",T367)</f>
        <v>Добавить источник для дифференциации</v>
      </c>
      <c r="AY367" s="1640"/>
      <c r="AZ367" s="1640"/>
      <c r="BA367" s="1658">
        <v>0</v>
      </c>
    </row>
    <row s="638" customFormat="1" customHeight="1" ht="0.75">
      <c r="A368" s="1359"/>
      <c r="B368" s="1359"/>
      <c r="C368" s="1359"/>
      <c r="D368" s="1359"/>
      <c r="E368" s="2275"/>
      <c r="F368" s="2274" t="s">
        <v>122</v>
      </c>
      <c r="G368" s="1359"/>
      <c r="H368" s="1359"/>
      <c r="I368" s="1359"/>
      <c r="J368" s="1359"/>
      <c r="K368" s="1359"/>
      <c r="L368" s="1561"/>
      <c r="M368" s="1337"/>
      <c r="N368" s="1337"/>
      <c r="O368" s="1658"/>
      <c r="P368" s="1332"/>
      <c r="Q368" s="1360"/>
      <c r="R368" s="1332"/>
      <c r="S368" s="1338"/>
      <c r="T368" s="1341" t="s">
        <v>269</v>
      </c>
      <c r="U368" s="1340"/>
      <c r="V368" s="1340"/>
      <c r="W368" s="1340"/>
      <c r="X368" s="1340"/>
      <c r="Y368" s="1340"/>
      <c r="Z368" s="1340"/>
      <c r="AA368" s="1340"/>
      <c r="AB368" s="1340"/>
      <c r="AC368" s="1340"/>
      <c r="AD368" s="1340"/>
      <c r="AE368" s="1340"/>
      <c r="AF368" s="1340"/>
      <c r="AG368" s="1340"/>
      <c r="AH368" s="1340"/>
      <c r="AI368" s="1340"/>
      <c r="AJ368" s="1340"/>
      <c r="AK368" s="1340"/>
      <c r="AL368" s="1340"/>
      <c r="AM368" s="1340"/>
      <c r="AN368" s="1340"/>
      <c r="AO368" s="1340"/>
      <c r="AP368" s="1340"/>
      <c r="AQ368" s="1340"/>
      <c r="AR368" s="1340"/>
      <c r="AS368" s="1340"/>
      <c r="AT368" s="1340"/>
      <c r="AU368" s="1340"/>
      <c r="AV368" s="1658"/>
      <c r="AW368" s="1640"/>
      <c r="AX368" s="1640" t="str">
        <f>IF(T368="","",T368)</f>
        <v>Добавить централизованную систему для дифференциации</v>
      </c>
      <c r="AY368" s="1640"/>
      <c r="AZ368" s="1640"/>
      <c r="BA368" s="1658">
        <v>0</v>
      </c>
    </row>
    <row s="1866" customFormat="1" customHeight="1" ht="21">
      <c r="A369" s="1379"/>
      <c r="B369" s="1379" t="s">
        <v>353</v>
      </c>
      <c r="C369" s="1379"/>
      <c r="D369" s="1379"/>
      <c r="E369" s="2275"/>
      <c r="F369" s="2274" t="s">
        <v>96</v>
      </c>
      <c r="G369" s="1379"/>
      <c r="H369" s="1379"/>
      <c r="I369" s="1379"/>
      <c r="J369" s="1379"/>
      <c r="K369" s="1379"/>
      <c r="L369" s="1385"/>
      <c r="M369" s="1381"/>
      <c r="N369" s="1381"/>
      <c r="O369" s="1381"/>
      <c r="P369" s="2623"/>
      <c r="Q369" s="1427"/>
      <c r="R369" s="369"/>
      <c r="S369" s="2289" t="str">
        <f>INDEX(PT_DIFFERENTIATION_NUM_TER,MATCH(B369,PT_DIFFERENTIATION_TER_ID,0))</f>
        <v>2.7</v>
      </c>
      <c r="T369" s="1538" t="s">
        <v>550</v>
      </c>
      <c r="U369" s="316"/>
      <c r="V369" s="2259"/>
      <c r="W369" s="2259"/>
      <c r="X369" s="2259"/>
      <c r="Y369" s="2259"/>
      <c r="Z369" s="2259"/>
      <c r="AA369" s="2260"/>
      <c r="AB369" s="2258" t="str">
        <f>INDEX(PT_DIFFERENTIATION_TER,MATCH(B369,PT_DIFFERENTIATION_TER_ID,0))</f>
        <v>Территория 11</v>
      </c>
      <c r="AC369" s="2259"/>
      <c r="AD369" s="2259"/>
      <c r="AE369" s="2259"/>
      <c r="AF369" s="2259"/>
      <c r="AG369" s="2259"/>
      <c r="AH369" s="2259"/>
      <c r="AI369" s="2259"/>
      <c r="AJ369" s="2259"/>
      <c r="AK369" s="2259"/>
      <c r="AL369" s="2259"/>
      <c r="AM369" s="2259"/>
      <c r="AN369" s="2259"/>
      <c r="AO369" s="2259"/>
      <c r="AP369" s="2259"/>
      <c r="AQ369" s="2259"/>
      <c r="AR369" s="2259"/>
      <c r="AS369" s="2259"/>
      <c r="AT369" s="2260"/>
      <c r="AU369" s="1274" t="s">
        <v>551</v>
      </c>
      <c r="AV369" s="1658"/>
      <c r="AW369" s="1640"/>
      <c r="AX369" s="1640" t="str">
        <f>IF(T369="","",T369)</f>
        <v>Территория действия тарифа</v>
      </c>
      <c r="AY369" s="1640"/>
      <c r="AZ369" s="1640"/>
      <c r="BA369" s="1651">
        <v>0</v>
      </c>
    </row>
    <row s="1866" customFormat="1" customHeight="1" ht="22.5">
      <c r="A370" s="1379"/>
      <c r="B370" s="1379"/>
      <c r="C370" s="1379" t="s">
        <v>354</v>
      </c>
      <c r="D370" s="1379"/>
      <c r="E370" s="2275"/>
      <c r="F370" s="2275" t="s">
        <v>95</v>
      </c>
      <c r="G370" s="2274">
        <v>1</v>
      </c>
      <c r="H370" s="1379"/>
      <c r="I370" s="1379"/>
      <c r="J370" s="1379"/>
      <c r="K370" s="1379"/>
      <c r="L370" s="1385"/>
      <c r="M370" s="1381"/>
      <c r="N370" s="1381"/>
      <c r="O370" s="1381"/>
      <c r="P370" s="1428"/>
      <c r="Q370" s="1427"/>
      <c r="R370" s="369"/>
      <c r="S370" s="2289" t="str">
        <f>INDEX(PT_DIFFERENTIATION_NUM_CS,MATCH(C370,PT_DIFFERENTIATION_CS_ID,0))</f>
        <v>2.7.1</v>
      </c>
      <c r="T370" s="325" t="s">
        <v>552</v>
      </c>
      <c r="U370" s="316"/>
      <c r="V370" s="2259"/>
      <c r="W370" s="2259"/>
      <c r="X370" s="2259"/>
      <c r="Y370" s="2259"/>
      <c r="Z370" s="2259"/>
      <c r="AA370" s="2260"/>
      <c r="AB370" s="2258" t="str">
        <f>INDEX(PT_DIFFERENTIATION_CS,MATCH(C370,PT_DIFFERENTIATION_CS_ID,0))</f>
        <v>пгт. Ярославский, Хорольский муниципальный округ</v>
      </c>
      <c r="AC370" s="2259"/>
      <c r="AD370" s="2259"/>
      <c r="AE370" s="2259"/>
      <c r="AF370" s="2259"/>
      <c r="AG370" s="2259"/>
      <c r="AH370" s="2259"/>
      <c r="AI370" s="2259"/>
      <c r="AJ370" s="2259"/>
      <c r="AK370" s="2259"/>
      <c r="AL370" s="2259"/>
      <c r="AM370" s="2259"/>
      <c r="AN370" s="2259"/>
      <c r="AO370" s="2259"/>
      <c r="AP370" s="2259"/>
      <c r="AQ370" s="2259"/>
      <c r="AR370" s="2259"/>
      <c r="AS370" s="2259"/>
      <c r="AT370" s="2260"/>
      <c r="AU370" s="1274" t="s">
        <v>553</v>
      </c>
      <c r="AV370" s="1658"/>
      <c r="AW370" s="1640"/>
      <c r="AX370" s="1640" t="str">
        <f>IF(T370="","",T370)</f>
        <v>Наименование системы теплоснабжения </v>
      </c>
      <c r="AY370" s="1640"/>
      <c r="AZ370" s="1640"/>
      <c r="BA370" s="1651">
        <v>0</v>
      </c>
    </row>
    <row s="1866" customFormat="1" customHeight="1" ht="21">
      <c r="A371" s="1379"/>
      <c r="B371" s="1379"/>
      <c r="C371" s="1379"/>
      <c r="D371" s="1379" t="s">
        <v>355</v>
      </c>
      <c r="E371" s="2275"/>
      <c r="F371" s="2275" t="s">
        <v>95</v>
      </c>
      <c r="G371" s="2275"/>
      <c r="H371" s="2274">
        <v>1</v>
      </c>
      <c r="I371" s="1379"/>
      <c r="J371" s="1379"/>
      <c r="K371" s="1379"/>
      <c r="L371" s="1385"/>
      <c r="M371" s="1381"/>
      <c r="N371" s="1381"/>
      <c r="O371" s="1381"/>
      <c r="P371" s="1428"/>
      <c r="Q371" s="1427"/>
      <c r="R371" s="369"/>
      <c r="S371" s="2289" t="str">
        <f>INDEX(PT_DIFFERENTIATION_NUM_IST_TE,MATCH(D371,PT_DIFFERENTIATION_IST_TE_ID,0))</f>
        <v>2.7.1.1</v>
      </c>
      <c r="T371" s="326" t="s">
        <v>554</v>
      </c>
      <c r="U371" s="316"/>
      <c r="V371" s="2259"/>
      <c r="W371" s="2259"/>
      <c r="X371" s="2259"/>
      <c r="Y371" s="2259"/>
      <c r="Z371" s="2259"/>
      <c r="AA371" s="2260"/>
      <c r="AB371" s="2258" t="str">
        <f>INDEX(PT_DIFFERENTIATION_IST_TE,MATCH(D371,PT_DIFFERENTIATION_IST_TE_ID,0))</f>
        <v>без дифференциации</v>
      </c>
      <c r="AC371" s="2259"/>
      <c r="AD371" s="2259"/>
      <c r="AE371" s="2259"/>
      <c r="AF371" s="2259"/>
      <c r="AG371" s="2259"/>
      <c r="AH371" s="2259"/>
      <c r="AI371" s="2259"/>
      <c r="AJ371" s="2259"/>
      <c r="AK371" s="2259"/>
      <c r="AL371" s="2259"/>
      <c r="AM371" s="2259"/>
      <c r="AN371" s="2259"/>
      <c r="AO371" s="2259"/>
      <c r="AP371" s="2259"/>
      <c r="AQ371" s="2259"/>
      <c r="AR371" s="2259"/>
      <c r="AS371" s="2259"/>
      <c r="AT371" s="2260"/>
      <c r="AU371" s="1274" t="s">
        <v>555</v>
      </c>
      <c r="AV371" s="1658"/>
      <c r="AW371" s="1640"/>
      <c r="AX371" s="1640" t="str">
        <f>IF(T371="","",T371)</f>
        <v>Источник тепловой энергии  </v>
      </c>
      <c r="AY371" s="1640"/>
      <c r="AZ371" s="1640"/>
      <c r="BA371" s="1651">
        <v>0</v>
      </c>
    </row>
    <row s="638" customFormat="1" customHeight="1" ht="0.75">
      <c r="A372" s="1359"/>
      <c r="B372" s="1359"/>
      <c r="C372" s="1359"/>
      <c r="D372" s="1359"/>
      <c r="E372" s="2275"/>
      <c r="F372" s="2275" t="s">
        <v>95</v>
      </c>
      <c r="G372" s="2275"/>
      <c r="H372" s="2275"/>
      <c r="I372" s="2272" t="str">
        <f>S371&amp;".1"</f>
        <v>2.7.1.1.1</v>
      </c>
      <c r="J372" s="1359"/>
      <c r="K372" s="1359"/>
      <c r="L372" s="1561" t="s">
        <v>556</v>
      </c>
      <c r="M372" s="526"/>
      <c r="N372" s="526"/>
      <c r="O372" s="526"/>
      <c r="P372" s="2390">
        <v>1</v>
      </c>
      <c r="Q372" s="2390"/>
      <c r="R372" s="372"/>
      <c r="S372" s="2320"/>
      <c r="T372" s="1399"/>
      <c r="U372" s="1400"/>
      <c r="V372" s="2313"/>
      <c r="W372" s="2313"/>
      <c r="X372" s="2313"/>
      <c r="Y372" s="2313"/>
      <c r="Z372" s="2313"/>
      <c r="AA372" s="2314"/>
      <c r="AB372" s="2312"/>
      <c r="AC372" s="2313"/>
      <c r="AD372" s="2313"/>
      <c r="AE372" s="2313"/>
      <c r="AF372" s="2313"/>
      <c r="AG372" s="2313"/>
      <c r="AH372" s="2313"/>
      <c r="AI372" s="2313"/>
      <c r="AJ372" s="2313"/>
      <c r="AK372" s="2313"/>
      <c r="AL372" s="2313"/>
      <c r="AM372" s="2313"/>
      <c r="AN372" s="2313"/>
      <c r="AO372" s="2313"/>
      <c r="AP372" s="2313"/>
      <c r="AQ372" s="2313"/>
      <c r="AR372" s="2313"/>
      <c r="AS372" s="2313"/>
      <c r="AT372" s="2314"/>
      <c r="AU372" s="1401"/>
      <c r="AV372" s="1658"/>
      <c r="AW372" s="1640"/>
      <c r="AX372" s="1640" t="str">
        <f>IF(T372="","",T372)</f>
        <v/>
      </c>
      <c r="AY372" s="1640"/>
      <c r="AZ372" s="1640"/>
      <c r="BA372" s="1658">
        <v>0</v>
      </c>
    </row>
    <row s="638" customFormat="1" customHeight="1" ht="0.75">
      <c r="A373" s="1359"/>
      <c r="B373" s="1359"/>
      <c r="C373" s="1359"/>
      <c r="D373" s="1359"/>
      <c r="E373" s="2275"/>
      <c r="F373" s="2275" t="s">
        <v>95</v>
      </c>
      <c r="G373" s="2275"/>
      <c r="H373" s="2275"/>
      <c r="I373" s="2302"/>
      <c r="J373" s="2272" t="str">
        <f>S371&amp;".1"</f>
        <v>2.7.1.1.1</v>
      </c>
      <c r="K373" s="1359"/>
      <c r="L373" s="1561"/>
      <c r="M373" s="526"/>
      <c r="N373" s="526"/>
      <c r="O373" s="526"/>
      <c r="P373" s="2390"/>
      <c r="Q373" s="2390">
        <v>1</v>
      </c>
      <c r="R373" s="373"/>
      <c r="S373" s="2320"/>
      <c r="T373" s="1415"/>
      <c r="U373" s="1400"/>
      <c r="V373" s="2313"/>
      <c r="W373" s="2313"/>
      <c r="X373" s="2313"/>
      <c r="Y373" s="2313"/>
      <c r="Z373" s="2313"/>
      <c r="AA373" s="2314"/>
      <c r="AB373" s="2312"/>
      <c r="AC373" s="2313"/>
      <c r="AD373" s="2313"/>
      <c r="AE373" s="2313"/>
      <c r="AF373" s="2313"/>
      <c r="AG373" s="2313"/>
      <c r="AH373" s="2313"/>
      <c r="AI373" s="2313"/>
      <c r="AJ373" s="2313"/>
      <c r="AK373" s="2313"/>
      <c r="AL373" s="2313"/>
      <c r="AM373" s="2313"/>
      <c r="AN373" s="2313"/>
      <c r="AO373" s="2313"/>
      <c r="AP373" s="2313"/>
      <c r="AQ373" s="2313"/>
      <c r="AR373" s="2313"/>
      <c r="AS373" s="2313"/>
      <c r="AT373" s="2314"/>
      <c r="AU373" s="1401"/>
      <c r="AV373" s="1658"/>
      <c r="AW373" s="1640"/>
      <c r="AX373" s="1640" t="str">
        <f>IF(T373="","",T373)</f>
        <v/>
      </c>
      <c r="AY373" s="1640"/>
      <c r="AZ373" s="1640"/>
      <c r="BA373" s="1658">
        <v>0</v>
      </c>
    </row>
    <row s="1866" customFormat="1" customHeight="1" ht="21">
      <c r="A374" s="1379"/>
      <c r="B374" s="1379"/>
      <c r="C374" s="1379"/>
      <c r="D374" s="1379"/>
      <c r="E374" s="2275"/>
      <c r="F374" s="2275" t="s">
        <v>95</v>
      </c>
      <c r="G374" s="2275"/>
      <c r="H374" s="2275"/>
      <c r="I374" s="2302"/>
      <c r="J374" s="2302"/>
      <c r="K374" s="2272" t="str">
        <f>S371&amp;".1"</f>
        <v>2.7.1.1.1</v>
      </c>
      <c r="L374" s="1385"/>
      <c r="M374" s="1792"/>
      <c r="N374" s="1792"/>
      <c r="O374" s="1792"/>
      <c r="P374" s="2390"/>
      <c r="Q374" s="2390"/>
      <c r="R374" s="2363">
        <v>1</v>
      </c>
      <c r="S374" s="2357" t="str">
        <f>$K374</f>
        <v>2.7.1.1.1</v>
      </c>
      <c r="T374" s="2360" t="s">
        <v>630</v>
      </c>
      <c r="U374" s="316"/>
      <c r="V374" s="767"/>
      <c r="W374" s="1273"/>
      <c r="X374" s="2618"/>
      <c r="Y374" s="2123" t="s">
        <v>64</v>
      </c>
      <c r="Z374" s="2618"/>
      <c r="AA374" s="2123" t="s">
        <v>64</v>
      </c>
      <c r="AB374" s="2123" t="s">
        <v>19</v>
      </c>
      <c r="AC374" s="2342"/>
      <c r="AD374" s="2453">
        <v>1</v>
      </c>
      <c r="AE374" s="2364" t="s">
        <v>28</v>
      </c>
      <c r="AF374" s="2123" t="s">
        <v>64</v>
      </c>
      <c r="AG374" s="2342"/>
      <c r="AH374" s="2453">
        <v>1</v>
      </c>
      <c r="AI374" s="2764" t="s">
        <v>632</v>
      </c>
      <c r="AJ374" s="2123" t="s">
        <v>64</v>
      </c>
      <c r="AK374" s="327"/>
      <c r="AL374" s="2453">
        <v>1</v>
      </c>
      <c r="AM374" s="3464" t="s">
        <v>633</v>
      </c>
      <c r="AN374" s="767"/>
      <c r="AO374" s="1273">
        <v>15554.384</v>
      </c>
      <c r="AP374" s="2618">
        <v>45917</v>
      </c>
      <c r="AQ374" s="2123" t="s">
        <v>64</v>
      </c>
      <c r="AR374" s="2618">
        <v>46022</v>
      </c>
      <c r="AS374" s="2123" t="s">
        <v>64</v>
      </c>
      <c r="AT374" s="1364"/>
      <c r="AU374" s="2269" t="s">
        <v>613</v>
      </c>
      <c r="AV374" s="1658">
        <f>STRCHECKDATE(V377:AT377)</f>
      </c>
      <c r="AW374" s="1640"/>
      <c r="AX374" s="1640" t="str">
        <f>IF(T374="","",T374)</f>
        <v>Котельная</v>
      </c>
      <c r="AY374" s="1640"/>
      <c r="AZ374" s="1640"/>
      <c r="BA374" s="1651">
        <v>0</v>
      </c>
    </row>
    <row s="1866" customFormat="1" customHeight="1" ht="11.25">
      <c r="A375" s="1379"/>
      <c r="B375" s="1379"/>
      <c r="C375" s="1379"/>
      <c r="D375" s="1379"/>
      <c r="E375" s="2275"/>
      <c r="F375" s="2275" t="s">
        <v>95</v>
      </c>
      <c r="G375" s="2275"/>
      <c r="H375" s="2275"/>
      <c r="I375" s="2302"/>
      <c r="J375" s="2302"/>
      <c r="K375" s="2272"/>
      <c r="L375" s="1385"/>
      <c r="M375" s="1792"/>
      <c r="N375" s="1792"/>
      <c r="O375" s="1792"/>
      <c r="P375" s="2390"/>
      <c r="Q375" s="2390"/>
      <c r="R375" s="2363"/>
      <c r="S375" s="2358"/>
      <c r="T375" s="2361"/>
      <c r="U375" s="316"/>
      <c r="V375" s="4355"/>
      <c r="W375" s="4356"/>
      <c r="X375" s="2618"/>
      <c r="Y375" s="2123"/>
      <c r="Z375" s="2618"/>
      <c r="AA375" s="2123"/>
      <c r="AB375" s="2123"/>
      <c r="AC375" s="2342"/>
      <c r="AD375" s="2453"/>
      <c r="AE375" s="2364" t="s">
        <v>28</v>
      </c>
      <c r="AF375" s="2123"/>
      <c r="AG375" s="2342"/>
      <c r="AH375" s="2453"/>
      <c r="AI375" s="2764"/>
      <c r="AJ375" s="2123"/>
      <c r="AK375" s="4357"/>
      <c r="AL375" s="4358"/>
      <c r="AM375" s="4359" t="s">
        <v>614</v>
      </c>
      <c r="AN375" s="4360"/>
      <c r="AO375" s="4361"/>
      <c r="AP375" s="4362"/>
      <c r="AQ375" s="4363"/>
      <c r="AR375" s="4364"/>
      <c r="AS375" s="4365"/>
      <c r="AT375" s="1406"/>
      <c r="AU375" s="2270"/>
      <c r="AV375" s="1658"/>
      <c r="AW375" s="1640"/>
      <c r="AX375" s="1640"/>
      <c r="AY375" s="1640"/>
      <c r="AZ375" s="1640"/>
      <c r="BA375" s="1651">
        <v>0</v>
      </c>
    </row>
    <row s="1866" customFormat="1" customHeight="1" ht="11.25">
      <c r="A376" s="1379"/>
      <c r="B376" s="1379"/>
      <c r="C376" s="1379"/>
      <c r="D376" s="1379"/>
      <c r="E376" s="2275"/>
      <c r="F376" s="2275" t="s">
        <v>95</v>
      </c>
      <c r="G376" s="2275"/>
      <c r="H376" s="2275"/>
      <c r="I376" s="2302"/>
      <c r="J376" s="2302"/>
      <c r="K376" s="2272"/>
      <c r="L376" s="1385"/>
      <c r="M376" s="1792"/>
      <c r="N376" s="1792"/>
      <c r="O376" s="1792"/>
      <c r="P376" s="2390"/>
      <c r="Q376" s="2390"/>
      <c r="R376" s="2363"/>
      <c r="S376" s="2358"/>
      <c r="T376" s="2361"/>
      <c r="U376" s="316"/>
      <c r="V376" s="4366"/>
      <c r="W376" s="4367"/>
      <c r="X376" s="2618"/>
      <c r="Y376" s="2123"/>
      <c r="Z376" s="2618"/>
      <c r="AA376" s="2123"/>
      <c r="AB376" s="2123"/>
      <c r="AC376" s="2342"/>
      <c r="AD376" s="2453"/>
      <c r="AE376" s="2364" t="s">
        <v>28</v>
      </c>
      <c r="AF376" s="2123"/>
      <c r="AG376" s="4368"/>
      <c r="AH376" s="4369"/>
      <c r="AI376" s="4370" t="s">
        <v>615</v>
      </c>
      <c r="AJ376" s="4371"/>
      <c r="AK376" s="4372"/>
      <c r="AL376" s="4373"/>
      <c r="AM376" s="4374"/>
      <c r="AN376" s="4375"/>
      <c r="AO376" s="4376"/>
      <c r="AP376" s="4377"/>
      <c r="AQ376" s="4378"/>
      <c r="AR376" s="4379"/>
      <c r="AS376" s="4380"/>
      <c r="AT376" s="1406"/>
      <c r="AU376" s="2270"/>
      <c r="AV376" s="1658"/>
      <c r="AW376" s="1640"/>
      <c r="AX376" s="1640"/>
      <c r="AY376" s="1640"/>
      <c r="AZ376" s="1640"/>
      <c r="BA376" s="1651">
        <v>0</v>
      </c>
    </row>
    <row s="1866" customFormat="1" customHeight="1" ht="11.25">
      <c r="A377" s="1379"/>
      <c r="B377" s="1379"/>
      <c r="C377" s="1379"/>
      <c r="D377" s="1379"/>
      <c r="E377" s="2275"/>
      <c r="F377" s="2275" t="s">
        <v>95</v>
      </c>
      <c r="G377" s="2275"/>
      <c r="H377" s="2275"/>
      <c r="I377" s="2302"/>
      <c r="J377" s="2302"/>
      <c r="K377" s="2272"/>
      <c r="L377" s="1385"/>
      <c r="M377" s="1792"/>
      <c r="N377" s="1792"/>
      <c r="O377" s="1792"/>
      <c r="P377" s="2390"/>
      <c r="Q377" s="2390"/>
      <c r="R377" s="2363"/>
      <c r="S377" s="2359"/>
      <c r="T377" s="2362"/>
      <c r="U377" s="316"/>
      <c r="V377" s="4381"/>
      <c r="W377" s="4382" t="str">
        <f>X374&amp;"-"&amp;Z374</f>
        <v>-</v>
      </c>
      <c r="X377" s="2325"/>
      <c r="Y377" s="2123"/>
      <c r="Z377" s="2325"/>
      <c r="AA377" s="2123"/>
      <c r="AB377" s="2123"/>
      <c r="AC377" s="4383"/>
      <c r="AD377" s="4384"/>
      <c r="AE377" s="4385" t="s">
        <v>616</v>
      </c>
      <c r="AF377" s="4386"/>
      <c r="AG377" s="4387"/>
      <c r="AH377" s="4388"/>
      <c r="AI377" s="4389"/>
      <c r="AJ377" s="4390"/>
      <c r="AK377" s="4391"/>
      <c r="AL377" s="4392"/>
      <c r="AM377" s="4393"/>
      <c r="AN377" s="4394"/>
      <c r="AO377" s="4395" t="str">
        <f>AP374&amp;"-"&amp;AR374</f>
        <v>45917-46022</v>
      </c>
      <c r="AP377" s="4396"/>
      <c r="AQ377" s="4397"/>
      <c r="AR377" s="4398"/>
      <c r="AS377" s="4399"/>
      <c r="AT377" s="1365"/>
      <c r="AU377" s="2270"/>
      <c r="AV377" s="1658"/>
      <c r="AW377" s="1640"/>
      <c r="AX377" s="1640" t="str">
        <f>IF(T377="","",T377)</f>
        <v/>
      </c>
      <c r="AY377" s="1640"/>
      <c r="AZ377" s="1640"/>
      <c r="BA377" s="1651">
        <v>0</v>
      </c>
    </row>
    <row s="1866" customFormat="1" customHeight="1" ht="11.25">
      <c r="A378" s="1379"/>
      <c r="B378" s="1379"/>
      <c r="C378" s="1379"/>
      <c r="D378" s="1379"/>
      <c r="E378" s="2275"/>
      <c r="F378" s="2275" t="s">
        <v>95</v>
      </c>
      <c r="G378" s="2275"/>
      <c r="H378" s="2275"/>
      <c r="I378" s="2302"/>
      <c r="J378" s="2272"/>
      <c r="K378" s="1379"/>
      <c r="L378" s="1385"/>
      <c r="M378" s="1792"/>
      <c r="N378" s="1792"/>
      <c r="O378" s="1792"/>
      <c r="P378" s="2390"/>
      <c r="Q378" s="2390"/>
      <c r="R378" s="372"/>
      <c r="S378" s="4400"/>
      <c r="T378" s="4401" t="s">
        <v>617</v>
      </c>
      <c r="U378" s="4402"/>
      <c r="V378" s="4403"/>
      <c r="W378" s="4404"/>
      <c r="X378" s="4405"/>
      <c r="Y378" s="4406"/>
      <c r="Z378" s="4407"/>
      <c r="AA378" s="4408"/>
      <c r="AB378" s="4409"/>
      <c r="AC378" s="4410"/>
      <c r="AD378" s="4411"/>
      <c r="AE378" s="4412"/>
      <c r="AF378" s="4413"/>
      <c r="AG378" s="4414"/>
      <c r="AH378" s="4415"/>
      <c r="AI378" s="4416"/>
      <c r="AJ378" s="4417"/>
      <c r="AK378" s="4418"/>
      <c r="AL378" s="4419"/>
      <c r="AM378" s="4420"/>
      <c r="AN378" s="4421"/>
      <c r="AO378" s="4422"/>
      <c r="AP378" s="4423"/>
      <c r="AQ378" s="4424"/>
      <c r="AR378" s="4425"/>
      <c r="AS378" s="4426"/>
      <c r="AT378" s="4427"/>
      <c r="AU378" s="2271"/>
      <c r="AV378" s="1658"/>
      <c r="AW378" s="1640"/>
      <c r="AX378" s="1640" t="str">
        <f>IF(T378="","",T378)</f>
        <v>Добавить строку</v>
      </c>
      <c r="AY378" s="1640"/>
      <c r="AZ378" s="1640"/>
      <c r="BA378" s="1651">
        <v>0</v>
      </c>
    </row>
    <row s="638" customFormat="1" customHeight="1" ht="0.75">
      <c r="A379" s="1359"/>
      <c r="B379" s="1359"/>
      <c r="C379" s="1359"/>
      <c r="D379" s="1359"/>
      <c r="E379" s="2275"/>
      <c r="F379" s="2275" t="s">
        <v>95</v>
      </c>
      <c r="G379" s="2275"/>
      <c r="H379" s="2275"/>
      <c r="I379" s="2272"/>
      <c r="J379" s="1359"/>
      <c r="K379" s="1359"/>
      <c r="L379" s="1561"/>
      <c r="M379" s="526"/>
      <c r="N379" s="526"/>
      <c r="O379" s="526"/>
      <c r="P379" s="2390"/>
      <c r="Q379" s="2390"/>
      <c r="R379" s="372"/>
      <c r="S379" s="1402"/>
      <c r="T379" s="1403"/>
      <c r="U379" s="1404"/>
      <c r="V379" s="1404"/>
      <c r="W379" s="1404"/>
      <c r="X379" s="1404"/>
      <c r="Y379" s="1404"/>
      <c r="Z379" s="1404"/>
      <c r="AA379" s="1404"/>
      <c r="AB379" s="1404"/>
      <c r="AC379" s="1404"/>
      <c r="AD379" s="1404"/>
      <c r="AE379" s="1404"/>
      <c r="AF379" s="1404"/>
      <c r="AG379" s="1404"/>
      <c r="AH379" s="1404"/>
      <c r="AI379" s="1404"/>
      <c r="AJ379" s="1404"/>
      <c r="AK379" s="1404"/>
      <c r="AL379" s="1404"/>
      <c r="AM379" s="1404"/>
      <c r="AN379" s="1404"/>
      <c r="AO379" s="1404"/>
      <c r="AP379" s="1404"/>
      <c r="AQ379" s="1404"/>
      <c r="AR379" s="1404"/>
      <c r="AS379" s="1404"/>
      <c r="AT379" s="1404"/>
      <c r="AU379" s="1405"/>
      <c r="AV379" s="1658"/>
      <c r="AW379" s="1640"/>
      <c r="AX379" s="1640" t="str">
        <f>IF(T379="","",T379)</f>
        <v/>
      </c>
      <c r="AY379" s="1640"/>
      <c r="AZ379" s="1640"/>
      <c r="BA379" s="1658">
        <v>0</v>
      </c>
    </row>
    <row s="638" customFormat="1" customHeight="1" ht="0.75">
      <c r="A380" s="1359"/>
      <c r="B380" s="1359"/>
      <c r="C380" s="1359"/>
      <c r="D380" s="1359"/>
      <c r="E380" s="2275"/>
      <c r="F380" s="2275" t="s">
        <v>95</v>
      </c>
      <c r="G380" s="2275"/>
      <c r="H380" s="2274"/>
      <c r="I380" s="1359"/>
      <c r="J380" s="1359"/>
      <c r="K380" s="1359"/>
      <c r="L380" s="1561"/>
      <c r="M380" s="1331"/>
      <c r="N380" s="1331"/>
      <c r="O380" s="1658"/>
      <c r="P380" s="1332"/>
      <c r="Q380" s="1360"/>
      <c r="R380" s="1417"/>
      <c r="S380" s="1402"/>
      <c r="T380" s="1403"/>
      <c r="U380" s="1404"/>
      <c r="V380" s="1404"/>
      <c r="W380" s="1404"/>
      <c r="X380" s="1404"/>
      <c r="Y380" s="1404"/>
      <c r="Z380" s="1404"/>
      <c r="AA380" s="1404"/>
      <c r="AB380" s="1404"/>
      <c r="AC380" s="1404"/>
      <c r="AD380" s="1404"/>
      <c r="AE380" s="1404"/>
      <c r="AF380" s="1404"/>
      <c r="AG380" s="1404"/>
      <c r="AH380" s="1404"/>
      <c r="AI380" s="1404"/>
      <c r="AJ380" s="1404"/>
      <c r="AK380" s="1404"/>
      <c r="AL380" s="1404"/>
      <c r="AM380" s="1404"/>
      <c r="AN380" s="1404"/>
      <c r="AO380" s="1404"/>
      <c r="AP380" s="1404"/>
      <c r="AQ380" s="1404"/>
      <c r="AR380" s="1404"/>
      <c r="AS380" s="1404"/>
      <c r="AT380" s="1404"/>
      <c r="AU380" s="1405"/>
      <c r="AV380" s="1658"/>
      <c r="AW380" s="1640"/>
      <c r="AX380" s="1640" t="str">
        <f>IF(T380="","",T380)</f>
        <v/>
      </c>
      <c r="AY380" s="1640"/>
      <c r="AZ380" s="1640"/>
      <c r="BA380" s="1658">
        <v>0</v>
      </c>
    </row>
    <row s="638" customFormat="1" customHeight="1" ht="0.75">
      <c r="A381" s="1359"/>
      <c r="B381" s="1359"/>
      <c r="C381" s="1359"/>
      <c r="D381" s="1359"/>
      <c r="E381" s="2275"/>
      <c r="F381" s="2275" t="s">
        <v>95</v>
      </c>
      <c r="G381" s="2274"/>
      <c r="H381" s="1359"/>
      <c r="I381" s="1359"/>
      <c r="J381" s="1359"/>
      <c r="K381" s="1359"/>
      <c r="L381" s="1561"/>
      <c r="M381" s="1331"/>
      <c r="N381" s="1331"/>
      <c r="O381" s="1658"/>
      <c r="P381" s="1332"/>
      <c r="Q381" s="1360"/>
      <c r="R381" s="1332"/>
      <c r="S381" s="1338"/>
      <c r="T381" s="1341" t="s">
        <v>268</v>
      </c>
      <c r="U381" s="1340"/>
      <c r="V381" s="1340"/>
      <c r="W381" s="1340"/>
      <c r="X381" s="1340"/>
      <c r="Y381" s="1340"/>
      <c r="Z381" s="1340"/>
      <c r="AA381" s="1340"/>
      <c r="AB381" s="1340"/>
      <c r="AC381" s="1340"/>
      <c r="AD381" s="1340"/>
      <c r="AE381" s="1340"/>
      <c r="AF381" s="1340"/>
      <c r="AG381" s="1340"/>
      <c r="AH381" s="1340"/>
      <c r="AI381" s="1340"/>
      <c r="AJ381" s="1340"/>
      <c r="AK381" s="1340"/>
      <c r="AL381" s="1340"/>
      <c r="AM381" s="1340"/>
      <c r="AN381" s="1340"/>
      <c r="AO381" s="1340"/>
      <c r="AP381" s="1340"/>
      <c r="AQ381" s="1340"/>
      <c r="AR381" s="1340"/>
      <c r="AS381" s="1340"/>
      <c r="AT381" s="1340"/>
      <c r="AU381" s="1340"/>
      <c r="AV381" s="1658"/>
      <c r="AW381" s="1640"/>
      <c r="AX381" s="1640" t="str">
        <f>IF(T381="","",T381)</f>
        <v>Добавить источник для дифференциации</v>
      </c>
      <c r="AY381" s="1640"/>
      <c r="AZ381" s="1640"/>
      <c r="BA381" s="1658">
        <v>0</v>
      </c>
    </row>
    <row s="638" customFormat="1" customHeight="1" ht="0.75">
      <c r="A382" s="1359"/>
      <c r="B382" s="1359"/>
      <c r="C382" s="1359"/>
      <c r="D382" s="1359"/>
      <c r="E382" s="2275"/>
      <c r="F382" s="2274" t="s">
        <v>95</v>
      </c>
      <c r="G382" s="1359"/>
      <c r="H382" s="1359"/>
      <c r="I382" s="1359"/>
      <c r="J382" s="1359"/>
      <c r="K382" s="1359"/>
      <c r="L382" s="1561"/>
      <c r="M382" s="1337"/>
      <c r="N382" s="1337"/>
      <c r="O382" s="1658"/>
      <c r="P382" s="1332"/>
      <c r="Q382" s="1360"/>
      <c r="R382" s="1332"/>
      <c r="S382" s="1338"/>
      <c r="T382" s="1341" t="s">
        <v>269</v>
      </c>
      <c r="U382" s="1340"/>
      <c r="V382" s="1340"/>
      <c r="W382" s="1340"/>
      <c r="X382" s="1340"/>
      <c r="Y382" s="1340"/>
      <c r="Z382" s="1340"/>
      <c r="AA382" s="1340"/>
      <c r="AB382" s="1340"/>
      <c r="AC382" s="1340"/>
      <c r="AD382" s="1340"/>
      <c r="AE382" s="1340"/>
      <c r="AF382" s="1340"/>
      <c r="AG382" s="1340"/>
      <c r="AH382" s="1340"/>
      <c r="AI382" s="1340"/>
      <c r="AJ382" s="1340"/>
      <c r="AK382" s="1340"/>
      <c r="AL382" s="1340"/>
      <c r="AM382" s="1340"/>
      <c r="AN382" s="1340"/>
      <c r="AO382" s="1340"/>
      <c r="AP382" s="1340"/>
      <c r="AQ382" s="1340"/>
      <c r="AR382" s="1340"/>
      <c r="AS382" s="1340"/>
      <c r="AT382" s="1340"/>
      <c r="AU382" s="1340"/>
      <c r="AV382" s="1658"/>
      <c r="AW382" s="1640"/>
      <c r="AX382" s="1640" t="str">
        <f>IF(T382="","",T382)</f>
        <v>Добавить централизованную систему для дифференциации</v>
      </c>
      <c r="AY382" s="1640"/>
      <c r="AZ382" s="1640"/>
      <c r="BA382" s="1658">
        <v>0</v>
      </c>
    </row>
    <row s="638" customFormat="1" customHeight="1" ht="0.75">
      <c r="A383" s="1359"/>
      <c r="B383" s="1359"/>
      <c r="C383" s="1359"/>
      <c r="D383" s="1359"/>
      <c r="E383" s="2274">
        <v>1</v>
      </c>
      <c r="F383" s="1359"/>
      <c r="G383" s="1359"/>
      <c r="H383" s="1359"/>
      <c r="I383" s="1359"/>
      <c r="J383" s="1359"/>
      <c r="K383" s="1359"/>
      <c r="L383" s="1561"/>
      <c r="M383" s="1337"/>
      <c r="N383" s="1337"/>
      <c r="O383" s="1658"/>
      <c r="P383" s="1332"/>
      <c r="Q383" s="1360"/>
      <c r="R383" s="1332"/>
      <c r="S383" s="1338"/>
      <c r="T383" s="1341" t="s">
        <v>330</v>
      </c>
      <c r="U383" s="1340"/>
      <c r="V383" s="1340"/>
      <c r="W383" s="1340"/>
      <c r="X383" s="1340"/>
      <c r="Y383" s="1340"/>
      <c r="Z383" s="1340"/>
      <c r="AA383" s="1340"/>
      <c r="AB383" s="1340"/>
      <c r="AC383" s="1340"/>
      <c r="AD383" s="1340"/>
      <c r="AE383" s="1340"/>
      <c r="AF383" s="1340"/>
      <c r="AG383" s="1340"/>
      <c r="AH383" s="1340"/>
      <c r="AI383" s="1340"/>
      <c r="AJ383" s="1340"/>
      <c r="AK383" s="1340"/>
      <c r="AL383" s="1340"/>
      <c r="AM383" s="1340"/>
      <c r="AN383" s="1340"/>
      <c r="AO383" s="1340"/>
      <c r="AP383" s="1340"/>
      <c r="AQ383" s="1340"/>
      <c r="AR383" s="1340"/>
      <c r="AS383" s="1340"/>
      <c r="AT383" s="1340"/>
      <c r="AU383" s="1340"/>
      <c r="AV383" s="1658"/>
      <c r="AW383" s="1640"/>
      <c r="AX383" s="1640" t="str">
        <f>IF(T383="","",T383)</f>
        <v>Добавить территорию для дифференциации</v>
      </c>
      <c r="AY383" s="1640"/>
      <c r="AZ383" s="1640"/>
      <c r="BA383" s="1658">
        <v>0</v>
      </c>
    </row>
    <row s="1658" customFormat="1" customHeight="1" ht="1.05">
      <c r="A384" s="1330"/>
      <c r="B384" s="1330"/>
      <c r="C384" s="1330"/>
      <c r="D384" s="1330"/>
      <c r="E384" s="1359"/>
      <c r="F384" s="1330"/>
      <c r="G384" s="1330"/>
      <c r="H384" s="1330"/>
      <c r="I384" s="1330"/>
      <c r="J384" s="1330"/>
      <c r="K384" s="1330"/>
      <c r="L384" s="1355"/>
      <c r="M384" s="1337"/>
      <c r="N384" s="1337"/>
      <c r="P384" s="1332"/>
      <c r="Q384" s="1333"/>
      <c r="R384" s="1332"/>
      <c r="S384" s="1338"/>
      <c r="T384" s="1341" t="s">
        <v>356</v>
      </c>
      <c r="U384" s="1340"/>
      <c r="V384" s="1340"/>
      <c r="W384" s="1340"/>
      <c r="X384" s="1340"/>
      <c r="Y384" s="1340"/>
      <c r="Z384" s="1340"/>
      <c r="AA384" s="1340"/>
      <c r="AB384" s="1340"/>
      <c r="AC384" s="1340"/>
      <c r="AD384" s="1340"/>
      <c r="AE384" s="1340"/>
      <c r="AF384" s="1340"/>
      <c r="AG384" s="1340"/>
      <c r="AH384" s="1340"/>
      <c r="AI384" s="1340"/>
      <c r="AJ384" s="1340"/>
      <c r="AK384" s="1340"/>
      <c r="AL384" s="1340"/>
      <c r="AM384" s="1340"/>
      <c r="AN384" s="1340"/>
      <c r="AO384" s="1340"/>
      <c r="AP384" s="1340"/>
      <c r="AQ384" s="1340"/>
      <c r="AR384" s="1340"/>
      <c r="AS384" s="1340"/>
      <c r="AT384" s="1340"/>
      <c r="AU384" s="1340"/>
      <c r="AW384" s="805"/>
      <c r="AX384" s="805" t="str">
        <f>IF(T384="","",T384)</f>
        <v>Добавить наименование тарифа</v>
      </c>
      <c r="AY384" s="805"/>
      <c r="AZ384" s="805"/>
      <c r="BA384" s="534">
        <v>1</v>
      </c>
    </row>
    <row customHeight="1" ht="11.549999999999999">
      <c r="M385" s="1176"/>
      <c r="N385" s="1176"/>
      <c r="O385" s="553"/>
      <c r="P385" s="1176"/>
      <c r="Q385" s="1176"/>
      <c r="R385" s="1171"/>
      <c r="S385" s="1171"/>
      <c r="AV385" s="1171"/>
      <c r="AW385" s="1171"/>
      <c r="AX385" s="1171"/>
      <c r="AY385" s="1171"/>
      <c r="AZ385" s="1171"/>
      <c r="BA385" s="1171">
        <v>11</v>
      </c>
    </row>
    <row customHeight="1" ht="19.95">
      <c r="O386" s="553"/>
      <c r="S386" s="1269"/>
      <c r="T386" s="2301"/>
      <c r="U386" s="2301"/>
      <c r="V386" s="2301"/>
      <c r="W386" s="2301"/>
      <c r="X386" s="2301"/>
      <c r="Y386" s="2301"/>
      <c r="Z386" s="2301"/>
      <c r="AA386" s="2301"/>
      <c r="AB386" s="2301"/>
      <c r="AC386" s="2301"/>
      <c r="AD386" s="2301"/>
      <c r="AE386" s="2301"/>
      <c r="AF386" s="2301"/>
      <c r="AG386" s="2301"/>
      <c r="AH386" s="2301"/>
      <c r="AI386" s="2301"/>
      <c r="AJ386" s="2301"/>
      <c r="AK386" s="2301"/>
      <c r="AL386" s="2301"/>
      <c r="AM386" s="2301"/>
      <c r="AN386" s="2301"/>
      <c r="AO386" s="2301"/>
      <c r="AP386" s="2301"/>
      <c r="AQ386" s="2301"/>
      <c r="AR386" s="2301"/>
      <c r="AS386" s="2301"/>
      <c r="AT386" s="2301"/>
      <c r="AU386" s="2301"/>
      <c r="BA386" s="1171">
        <v>19</v>
      </c>
    </row>
    <row customHeight="1" ht="21">
      <c r="O387" s="553"/>
      <c r="T387" s="2301"/>
      <c r="U387" s="2301"/>
      <c r="V387" s="2301"/>
      <c r="W387" s="2301"/>
      <c r="X387" s="2301"/>
      <c r="Y387" s="2301"/>
      <c r="Z387" s="2301"/>
      <c r="AA387" s="2301"/>
      <c r="AB387" s="2301"/>
      <c r="AC387" s="2301"/>
      <c r="AD387" s="2301"/>
      <c r="AE387" s="2301"/>
      <c r="AF387" s="2301"/>
      <c r="AG387" s="2301"/>
      <c r="AH387" s="2301"/>
      <c r="AI387" s="2301"/>
      <c r="AJ387" s="2301"/>
      <c r="AK387" s="2301"/>
      <c r="AL387" s="2301"/>
      <c r="AM387" s="2301"/>
      <c r="AN387" s="2301"/>
      <c r="AO387" s="2301"/>
      <c r="AP387" s="2301"/>
      <c r="AQ387" s="2301"/>
      <c r="AR387" s="2301"/>
      <c r="AS387" s="2301"/>
      <c r="AT387" s="2301"/>
      <c r="AU387" s="2301"/>
      <c r="BA387" s="1171">
        <v>20</v>
      </c>
    </row>
    <row customHeight="1" ht="14.699999999999998">
      <c r="O388" s="553"/>
      <c r="T388" s="1349"/>
      <c r="U388" s="1349"/>
      <c r="V388" s="1349"/>
      <c r="W388" s="1349"/>
      <c r="X388" s="1349"/>
      <c r="Y388" s="1349"/>
      <c r="Z388" s="1349"/>
      <c r="AA388" s="1349"/>
      <c r="AB388" s="1349"/>
      <c r="AC388" s="1349"/>
      <c r="AD388" s="1349"/>
      <c r="AE388" s="1349"/>
      <c r="AF388" s="1349"/>
      <c r="AG388" s="1349"/>
      <c r="AH388" s="1349"/>
      <c r="AI388" s="1349"/>
      <c r="AJ388" s="1349"/>
      <c r="AK388" s="1349"/>
      <c r="AL388" s="1349"/>
      <c r="AM388" s="1349"/>
      <c r="AN388" s="1349"/>
      <c r="AO388" s="1349"/>
      <c r="AP388" s="1349"/>
      <c r="AQ388" s="1349"/>
      <c r="AR388" s="1349"/>
      <c r="AS388" s="1349"/>
      <c r="AT388" s="1349"/>
      <c r="AU388" s="1349"/>
      <c r="BA388" s="1171">
        <v>14</v>
      </c>
    </row>
    <row customHeight="1" ht="19.95">
      <c r="O389" s="553"/>
      <c r="T389" s="2301"/>
      <c r="U389" s="2301"/>
      <c r="V389" s="2301"/>
      <c r="W389" s="2301"/>
      <c r="X389" s="2301"/>
      <c r="Y389" s="2301"/>
      <c r="Z389" s="2301"/>
      <c r="AA389" s="2301"/>
      <c r="AB389" s="2301"/>
      <c r="AC389" s="2301"/>
      <c r="AD389" s="2301"/>
      <c r="AE389" s="2301"/>
      <c r="AF389" s="2301"/>
      <c r="AG389" s="2301"/>
      <c r="AH389" s="2301"/>
      <c r="AI389" s="2301"/>
      <c r="AJ389" s="2301"/>
      <c r="AK389" s="2301"/>
      <c r="AL389" s="2301"/>
      <c r="AM389" s="2301"/>
      <c r="AN389" s="2301"/>
      <c r="AO389" s="2301"/>
      <c r="AP389" s="2301"/>
      <c r="AQ389" s="2301"/>
      <c r="AR389" s="2301"/>
      <c r="AS389" s="2301"/>
      <c r="AT389" s="2301"/>
      <c r="AU389" s="2301"/>
      <c r="BA389" s="1171">
        <v>19</v>
      </c>
    </row>
    <row customHeight="1" ht="16.8">
      <c r="O390" s="553"/>
      <c r="T390" s="2301"/>
      <c r="U390" s="2301"/>
      <c r="V390" s="2301"/>
      <c r="W390" s="2301"/>
      <c r="X390" s="2301"/>
      <c r="Y390" s="2301"/>
      <c r="Z390" s="2301"/>
      <c r="AA390" s="2301"/>
      <c r="AB390" s="2301"/>
      <c r="AC390" s="2301"/>
      <c r="AD390" s="2301"/>
      <c r="AE390" s="2301"/>
      <c r="AF390" s="2301"/>
      <c r="AG390" s="2301"/>
      <c r="AH390" s="2301"/>
      <c r="AI390" s="2301"/>
      <c r="AJ390" s="2301"/>
      <c r="AK390" s="2301"/>
      <c r="AL390" s="2301"/>
      <c r="AM390" s="2301"/>
      <c r="AN390" s="2301"/>
      <c r="AO390" s="2301"/>
      <c r="AP390" s="2301"/>
      <c r="AQ390" s="2301"/>
      <c r="AR390" s="2301"/>
      <c r="AS390" s="2301"/>
      <c r="AT390" s="2301"/>
      <c r="AU390" s="2301"/>
      <c r="BA390" s="1171">
        <v>16</v>
      </c>
    </row>
    <row customHeight="1" ht="14.699999999999998">
      <c r="O391" s="553"/>
      <c r="BA391" s="1171">
        <v>14</v>
      </c>
    </row>
    <row customHeight="1" ht="22.5" hidden="1">
      <c r="A392" s="1176" t="s">
        <v>85</v>
      </c>
      <c r="B392" s="1176">
        <v>0</v>
      </c>
      <c r="C392" s="1176">
        <v>0</v>
      </c>
      <c r="D392" s="1176">
        <v>0</v>
      </c>
      <c r="E392" s="1176">
        <v>0</v>
      </c>
      <c r="F392" s="1176">
        <v>0</v>
      </c>
      <c r="G392" s="1176">
        <v>0</v>
      </c>
      <c r="H392" s="1176">
        <v>0</v>
      </c>
      <c r="I392" s="1176">
        <v>0</v>
      </c>
      <c r="J392" s="1176">
        <v>0</v>
      </c>
      <c r="K392" s="1176">
        <v>0</v>
      </c>
      <c r="L392" s="1345">
        <v>0</v>
      </c>
      <c r="M392" s="1378">
        <v>0</v>
      </c>
      <c r="N392" s="1378">
        <v>0</v>
      </c>
      <c r="O392" s="1378">
        <v>0</v>
      </c>
      <c r="P392" s="1378">
        <v>3</v>
      </c>
      <c r="Q392" s="1387">
        <v>3</v>
      </c>
      <c r="R392" s="360">
        <v>3</v>
      </c>
      <c r="S392" s="597">
        <v>12</v>
      </c>
      <c r="T392" s="1171">
        <v>31</v>
      </c>
      <c r="U392" s="1171">
        <v>0</v>
      </c>
      <c r="V392" s="1171">
        <v>0</v>
      </c>
      <c r="W392" s="1171">
        <v>0</v>
      </c>
      <c r="X392" s="1171">
        <v>0</v>
      </c>
      <c r="Y392" s="1171">
        <v>0</v>
      </c>
      <c r="Z392" s="1171">
        <v>0</v>
      </c>
      <c r="AA392" s="1171">
        <v>0</v>
      </c>
      <c r="AB392" s="1171">
        <v>5</v>
      </c>
      <c r="AC392" s="1171">
        <v>3</v>
      </c>
      <c r="AD392" s="1171">
        <v>3</v>
      </c>
      <c r="AE392" s="1171">
        <v>24</v>
      </c>
      <c r="AF392" s="1171">
        <v>3</v>
      </c>
      <c r="AG392" s="1171">
        <v>3</v>
      </c>
      <c r="AH392" s="1171">
        <v>3</v>
      </c>
      <c r="AI392" s="1171">
        <v>24</v>
      </c>
      <c r="AJ392" s="1171">
        <v>3</v>
      </c>
      <c r="AK392" s="1171">
        <v>3</v>
      </c>
      <c r="AL392" s="1171">
        <v>3</v>
      </c>
      <c r="AM392" s="1171">
        <v>18</v>
      </c>
      <c r="AN392" s="1171">
        <v>21</v>
      </c>
      <c r="AO392" s="1171">
        <v>21</v>
      </c>
      <c r="AP392" s="1171">
        <v>11</v>
      </c>
      <c r="AQ392" s="1171">
        <v>3</v>
      </c>
      <c r="AR392" s="1171">
        <v>11</v>
      </c>
      <c r="AS392" s="1171">
        <v>8</v>
      </c>
      <c r="AT392" s="1171">
        <v>4</v>
      </c>
      <c r="AU392" s="1171">
        <v>115</v>
      </c>
      <c r="AV392" s="527">
        <v>10</v>
      </c>
      <c r="AW392" s="527">
        <v>10</v>
      </c>
      <c r="AX392" s="527">
        <v>10</v>
      </c>
      <c r="AY392" s="527">
        <v>10</v>
      </c>
      <c r="AZ392" s="527">
        <v>10</v>
      </c>
      <c r="BA392" s="1171">
        <v>23</v>
      </c>
    </row>
  </sheetData>
  <sheetProtection formatColumns="0" formatRows="0" autoFilter="0" sort="0" insertRows="0" insertColumns="1" deleteRows="0" deleteColumns="0"/>
  <mergeCells count="924">
    <mergeCell ref="T389:AU389"/>
    <mergeCell ref="T390:AU390"/>
    <mergeCell ref="AI51:AI52"/>
    <mergeCell ref="AJ51:AJ52"/>
    <mergeCell ref="AJ40:AM43"/>
    <mergeCell ref="AD51:AD53"/>
    <mergeCell ref="AE51:AE53"/>
    <mergeCell ref="AF51:AF53"/>
    <mergeCell ref="AG51:AG52"/>
    <mergeCell ref="AH51:AH52"/>
    <mergeCell ref="T386:AU386"/>
    <mergeCell ref="T387:AU387"/>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283"/>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F61:F74"/>
    <mergeCell ref="G62:G73"/>
    <mergeCell ref="H63:H72"/>
    <mergeCell ref="V63:AA63"/>
    <mergeCell ref="X66:X69"/>
    <mergeCell ref="Y66:Y69"/>
    <mergeCell ref="Z66:Z69"/>
    <mergeCell ref="AA66:AA69"/>
    <mergeCell ref="I64:I71"/>
    <mergeCell ref="P64:P71"/>
    <mergeCell ref="V64:AA64"/>
    <mergeCell ref="J65:J70"/>
    <mergeCell ref="Q65:Q70"/>
    <mergeCell ref="V65:AA65"/>
    <mergeCell ref="K66:K69"/>
    <mergeCell ref="S66:S69"/>
    <mergeCell ref="T66:T69"/>
    <mergeCell ref="R66:R69"/>
    <mergeCell ref="V61:AA61"/>
    <mergeCell ref="AB61:AT61"/>
    <mergeCell ref="V62:AA62"/>
    <mergeCell ref="AB62:AT62"/>
    <mergeCell ref="AB63:AT63"/>
    <mergeCell ref="AB64:AT64"/>
    <mergeCell ref="AB65:AT65"/>
    <mergeCell ref="AE66:AE68"/>
    <mergeCell ref="AF66:AF68"/>
    <mergeCell ref="AG66:AG67"/>
    <mergeCell ref="AH66:AH67"/>
    <mergeCell ref="AU66:AU70"/>
    <mergeCell ref="AJ66:AJ67"/>
    <mergeCell ref="AB66:AB69"/>
    <mergeCell ref="AC66:AC68"/>
    <mergeCell ref="AD66:AD68"/>
    <mergeCell ref="AI66:AI67"/>
    <mergeCell ref="E284:E383"/>
    <mergeCell ref="F285:F298"/>
    <mergeCell ref="G286:G297"/>
    <mergeCell ref="H287:H296"/>
    <mergeCell ref="V287:AA287"/>
    <mergeCell ref="X290:X293"/>
    <mergeCell ref="Y290:Y293"/>
    <mergeCell ref="Z290:Z293"/>
    <mergeCell ref="AA290:AA293"/>
    <mergeCell ref="V284:AA284"/>
    <mergeCell ref="I288:I295"/>
    <mergeCell ref="P288:P295"/>
    <mergeCell ref="V288:AA288"/>
    <mergeCell ref="J289:J294"/>
    <mergeCell ref="Q289:Q294"/>
    <mergeCell ref="V289:AA289"/>
    <mergeCell ref="K290:K293"/>
    <mergeCell ref="S290:S293"/>
    <mergeCell ref="T290:T293"/>
    <mergeCell ref="R290:R293"/>
    <mergeCell ref="AB284:AT284"/>
    <mergeCell ref="V285:AA285"/>
    <mergeCell ref="AB285:AT285"/>
    <mergeCell ref="V286:AA286"/>
    <mergeCell ref="AB286:AT286"/>
    <mergeCell ref="AB287:AT287"/>
    <mergeCell ref="AB288:AT288"/>
    <mergeCell ref="AB289:AT289"/>
    <mergeCell ref="AE290:AE292"/>
    <mergeCell ref="AF290:AF292"/>
    <mergeCell ref="AG290:AG291"/>
    <mergeCell ref="AH290:AH291"/>
    <mergeCell ref="AU290:AU294"/>
    <mergeCell ref="AJ290:AJ291"/>
    <mergeCell ref="AB290:AB293"/>
    <mergeCell ref="AC290:AC292"/>
    <mergeCell ref="AD290:AD292"/>
    <mergeCell ref="AI290:AI291"/>
    <mergeCell ref="F75:F100"/>
    <mergeCell ref="G76:G87"/>
    <mergeCell ref="H77:H86"/>
    <mergeCell ref="V77:AA77"/>
    <mergeCell ref="X80:X83"/>
    <mergeCell ref="Y80:Y83"/>
    <mergeCell ref="Z80:Z83"/>
    <mergeCell ref="AA80:AA83"/>
    <mergeCell ref="I78:I85"/>
    <mergeCell ref="P78:P85"/>
    <mergeCell ref="V78:AA78"/>
    <mergeCell ref="J79:J84"/>
    <mergeCell ref="Q79:Q84"/>
    <mergeCell ref="V79:AA79"/>
    <mergeCell ref="K80:K83"/>
    <mergeCell ref="S80:S83"/>
    <mergeCell ref="T80:T83"/>
    <mergeCell ref="R80:R83"/>
    <mergeCell ref="V75:AA75"/>
    <mergeCell ref="AB75:AT75"/>
    <mergeCell ref="V76:AA76"/>
    <mergeCell ref="AB76:AT76"/>
    <mergeCell ref="AB77:AT77"/>
    <mergeCell ref="AB78:AT78"/>
    <mergeCell ref="AB79:AT79"/>
    <mergeCell ref="AE80:AE82"/>
    <mergeCell ref="AF80:AF82"/>
    <mergeCell ref="AG80:AG81"/>
    <mergeCell ref="AH80:AH81"/>
    <mergeCell ref="AU80:AU84"/>
    <mergeCell ref="AJ80:AJ81"/>
    <mergeCell ref="AB80:AB83"/>
    <mergeCell ref="AC80:AC82"/>
    <mergeCell ref="AD80:AD82"/>
    <mergeCell ref="AI80:AI81"/>
    <mergeCell ref="F299:F312"/>
    <mergeCell ref="G300:G311"/>
    <mergeCell ref="H301:H310"/>
    <mergeCell ref="V301:AA301"/>
    <mergeCell ref="X304:X307"/>
    <mergeCell ref="Y304:Y307"/>
    <mergeCell ref="Z304:Z307"/>
    <mergeCell ref="AA304:AA307"/>
    <mergeCell ref="I302:I309"/>
    <mergeCell ref="P302:P309"/>
    <mergeCell ref="V302:AA302"/>
    <mergeCell ref="J303:J308"/>
    <mergeCell ref="Q303:Q308"/>
    <mergeCell ref="V303:AA303"/>
    <mergeCell ref="K304:K307"/>
    <mergeCell ref="S304:S307"/>
    <mergeCell ref="T304:T307"/>
    <mergeCell ref="R304:R307"/>
    <mergeCell ref="V299:AA299"/>
    <mergeCell ref="AB299:AT299"/>
    <mergeCell ref="V300:AA300"/>
    <mergeCell ref="AB300:AT300"/>
    <mergeCell ref="AB301:AT301"/>
    <mergeCell ref="AB302:AT302"/>
    <mergeCell ref="AB303:AT303"/>
    <mergeCell ref="AE304:AE306"/>
    <mergeCell ref="AF304:AF306"/>
    <mergeCell ref="AG304:AG305"/>
    <mergeCell ref="AH304:AH305"/>
    <mergeCell ref="AU304:AU308"/>
    <mergeCell ref="AJ304:AJ305"/>
    <mergeCell ref="AB304:AB307"/>
    <mergeCell ref="AC304:AC306"/>
    <mergeCell ref="AD304:AD306"/>
    <mergeCell ref="AI304:AI305"/>
    <mergeCell ref="F101:F114"/>
    <mergeCell ref="G102:G113"/>
    <mergeCell ref="H103:H112"/>
    <mergeCell ref="V103:AA103"/>
    <mergeCell ref="X106:X109"/>
    <mergeCell ref="Y106:Y109"/>
    <mergeCell ref="Z106:Z109"/>
    <mergeCell ref="AA106:AA109"/>
    <mergeCell ref="I104:I111"/>
    <mergeCell ref="P104:P111"/>
    <mergeCell ref="V104:AA104"/>
    <mergeCell ref="J105:J110"/>
    <mergeCell ref="Q105:Q110"/>
    <mergeCell ref="V105:AA105"/>
    <mergeCell ref="K106:K109"/>
    <mergeCell ref="S106:S109"/>
    <mergeCell ref="T106:T109"/>
    <mergeCell ref="R106:R109"/>
    <mergeCell ref="V101:AA101"/>
    <mergeCell ref="AB101:AT101"/>
    <mergeCell ref="V102:AA102"/>
    <mergeCell ref="AB102:AT102"/>
    <mergeCell ref="AB103:AT103"/>
    <mergeCell ref="AB104:AT104"/>
    <mergeCell ref="AB105:AT105"/>
    <mergeCell ref="AE106:AE108"/>
    <mergeCell ref="AF106:AF108"/>
    <mergeCell ref="AG106:AG107"/>
    <mergeCell ref="AH106:AH107"/>
    <mergeCell ref="AU106:AU110"/>
    <mergeCell ref="AJ106:AJ107"/>
    <mergeCell ref="AB106:AB109"/>
    <mergeCell ref="AC106:AC108"/>
    <mergeCell ref="AD106:AD108"/>
    <mergeCell ref="AI106:AI107"/>
    <mergeCell ref="F313:F326"/>
    <mergeCell ref="G314:G325"/>
    <mergeCell ref="H315:H324"/>
    <mergeCell ref="V315:AA315"/>
    <mergeCell ref="X318:X321"/>
    <mergeCell ref="Y318:Y321"/>
    <mergeCell ref="Z318:Z321"/>
    <mergeCell ref="AA318:AA321"/>
    <mergeCell ref="I316:I323"/>
    <mergeCell ref="P316:P323"/>
    <mergeCell ref="V316:AA316"/>
    <mergeCell ref="J317:J322"/>
    <mergeCell ref="Q317:Q322"/>
    <mergeCell ref="V317:AA317"/>
    <mergeCell ref="K318:K321"/>
    <mergeCell ref="S318:S321"/>
    <mergeCell ref="T318:T321"/>
    <mergeCell ref="R318:R321"/>
    <mergeCell ref="V313:AA313"/>
    <mergeCell ref="AB313:AT313"/>
    <mergeCell ref="V314:AA314"/>
    <mergeCell ref="AB314:AT314"/>
    <mergeCell ref="AB315:AT315"/>
    <mergeCell ref="AB316:AT316"/>
    <mergeCell ref="AB317:AT317"/>
    <mergeCell ref="AE318:AE320"/>
    <mergeCell ref="AF318:AF320"/>
    <mergeCell ref="AG318:AG319"/>
    <mergeCell ref="AH318:AH319"/>
    <mergeCell ref="AU318:AU322"/>
    <mergeCell ref="AJ318:AJ319"/>
    <mergeCell ref="AB318:AB321"/>
    <mergeCell ref="AC318:AC320"/>
    <mergeCell ref="AD318:AD320"/>
    <mergeCell ref="AI318:AI319"/>
    <mergeCell ref="F115:F128"/>
    <mergeCell ref="G116:G127"/>
    <mergeCell ref="H117:H126"/>
    <mergeCell ref="V117:AA117"/>
    <mergeCell ref="X120:X123"/>
    <mergeCell ref="Y120:Y123"/>
    <mergeCell ref="Z120:Z123"/>
    <mergeCell ref="AA120:AA123"/>
    <mergeCell ref="I118:I125"/>
    <mergeCell ref="P118:P125"/>
    <mergeCell ref="V118:AA118"/>
    <mergeCell ref="J119:J124"/>
    <mergeCell ref="Q119:Q124"/>
    <mergeCell ref="V119:AA119"/>
    <mergeCell ref="K120:K123"/>
    <mergeCell ref="S120:S123"/>
    <mergeCell ref="T120:T123"/>
    <mergeCell ref="R120:R123"/>
    <mergeCell ref="V115:AA115"/>
    <mergeCell ref="AB115:AT115"/>
    <mergeCell ref="V116:AA116"/>
    <mergeCell ref="AB116:AT116"/>
    <mergeCell ref="AB117:AT117"/>
    <mergeCell ref="AB118:AT118"/>
    <mergeCell ref="AB119:AT119"/>
    <mergeCell ref="AE120:AE122"/>
    <mergeCell ref="AF120:AF122"/>
    <mergeCell ref="AG120:AG121"/>
    <mergeCell ref="AH120:AH121"/>
    <mergeCell ref="AU120:AU124"/>
    <mergeCell ref="AJ120:AJ121"/>
    <mergeCell ref="AB120:AB123"/>
    <mergeCell ref="AC120:AC122"/>
    <mergeCell ref="AD120:AD122"/>
    <mergeCell ref="AI120:AI121"/>
    <mergeCell ref="G88:G99"/>
    <mergeCell ref="H89:H98"/>
    <mergeCell ref="V89:AA89"/>
    <mergeCell ref="X92:X95"/>
    <mergeCell ref="Y92:Y95"/>
    <mergeCell ref="Z92:Z95"/>
    <mergeCell ref="AA92:AA95"/>
    <mergeCell ref="I90:I97"/>
    <mergeCell ref="P90:P97"/>
    <mergeCell ref="V90:AA90"/>
    <mergeCell ref="J91:J96"/>
    <mergeCell ref="Q91:Q96"/>
    <mergeCell ref="V91:AA91"/>
    <mergeCell ref="K92:K95"/>
    <mergeCell ref="S92:S95"/>
    <mergeCell ref="T92:T95"/>
    <mergeCell ref="R92:R95"/>
    <mergeCell ref="V88:AA88"/>
    <mergeCell ref="AB88:AT88"/>
    <mergeCell ref="AB89:AT89"/>
    <mergeCell ref="AB90:AT90"/>
    <mergeCell ref="AB91:AT91"/>
    <mergeCell ref="AE92:AE94"/>
    <mergeCell ref="AF92:AF94"/>
    <mergeCell ref="AG92:AG93"/>
    <mergeCell ref="AH92:AH93"/>
    <mergeCell ref="AU92:AU96"/>
    <mergeCell ref="AJ92:AJ93"/>
    <mergeCell ref="AB92:AB95"/>
    <mergeCell ref="AC92:AC94"/>
    <mergeCell ref="AD92:AD94"/>
    <mergeCell ref="AI92:AI93"/>
    <mergeCell ref="F129:F142"/>
    <mergeCell ref="G130:G141"/>
    <mergeCell ref="H131:H140"/>
    <mergeCell ref="V131:AA131"/>
    <mergeCell ref="X134:X137"/>
    <mergeCell ref="Y134:Y137"/>
    <mergeCell ref="Z134:Z137"/>
    <mergeCell ref="AA134:AA137"/>
    <mergeCell ref="I132:I139"/>
    <mergeCell ref="P132:P139"/>
    <mergeCell ref="V132:AA132"/>
    <mergeCell ref="J133:J138"/>
    <mergeCell ref="Q133:Q138"/>
    <mergeCell ref="V133:AA133"/>
    <mergeCell ref="K134:K137"/>
    <mergeCell ref="S134:S137"/>
    <mergeCell ref="T134:T137"/>
    <mergeCell ref="R134:R137"/>
    <mergeCell ref="V129:AA129"/>
    <mergeCell ref="AB129:AT129"/>
    <mergeCell ref="V130:AA130"/>
    <mergeCell ref="AB130:AT130"/>
    <mergeCell ref="AB131:AT131"/>
    <mergeCell ref="AB132:AT132"/>
    <mergeCell ref="AB133:AT133"/>
    <mergeCell ref="AE134:AE136"/>
    <mergeCell ref="AF134:AF136"/>
    <mergeCell ref="AG134:AG135"/>
    <mergeCell ref="AH134:AH135"/>
    <mergeCell ref="AU134:AU138"/>
    <mergeCell ref="AJ134:AJ135"/>
    <mergeCell ref="AB134:AB137"/>
    <mergeCell ref="AC134:AC136"/>
    <mergeCell ref="AD134:AD136"/>
    <mergeCell ref="AI134:AI135"/>
    <mergeCell ref="F143:F156"/>
    <mergeCell ref="G144:G155"/>
    <mergeCell ref="H145:H154"/>
    <mergeCell ref="V145:AA145"/>
    <mergeCell ref="X148:X151"/>
    <mergeCell ref="Y148:Y151"/>
    <mergeCell ref="Z148:Z151"/>
    <mergeCell ref="AA148:AA151"/>
    <mergeCell ref="I146:I153"/>
    <mergeCell ref="P146:P153"/>
    <mergeCell ref="V146:AA146"/>
    <mergeCell ref="J147:J152"/>
    <mergeCell ref="Q147:Q152"/>
    <mergeCell ref="V147:AA147"/>
    <mergeCell ref="K148:K151"/>
    <mergeCell ref="S148:S151"/>
    <mergeCell ref="T148:T151"/>
    <mergeCell ref="R148:R151"/>
    <mergeCell ref="V143:AA143"/>
    <mergeCell ref="AB143:AT143"/>
    <mergeCell ref="V144:AA144"/>
    <mergeCell ref="AB144:AT144"/>
    <mergeCell ref="AB145:AT145"/>
    <mergeCell ref="AB146:AT146"/>
    <mergeCell ref="AB147:AT147"/>
    <mergeCell ref="AE148:AE150"/>
    <mergeCell ref="AF148:AF150"/>
    <mergeCell ref="AG148:AG149"/>
    <mergeCell ref="AH148:AH149"/>
    <mergeCell ref="AU148:AU152"/>
    <mergeCell ref="AJ148:AJ149"/>
    <mergeCell ref="AB148:AB151"/>
    <mergeCell ref="AC148:AC150"/>
    <mergeCell ref="AD148:AD150"/>
    <mergeCell ref="AI148:AI149"/>
    <mergeCell ref="F327:F340"/>
    <mergeCell ref="G328:G339"/>
    <mergeCell ref="H329:H338"/>
    <mergeCell ref="V329:AA329"/>
    <mergeCell ref="X332:X335"/>
    <mergeCell ref="Y332:Y335"/>
    <mergeCell ref="Z332:Z335"/>
    <mergeCell ref="AA332:AA335"/>
    <mergeCell ref="I330:I337"/>
    <mergeCell ref="P330:P337"/>
    <mergeCell ref="V330:AA330"/>
    <mergeCell ref="J331:J336"/>
    <mergeCell ref="Q331:Q336"/>
    <mergeCell ref="V331:AA331"/>
    <mergeCell ref="K332:K335"/>
    <mergeCell ref="S332:S335"/>
    <mergeCell ref="T332:T335"/>
    <mergeCell ref="R332:R335"/>
    <mergeCell ref="V327:AA327"/>
    <mergeCell ref="AB327:AT327"/>
    <mergeCell ref="V328:AA328"/>
    <mergeCell ref="AB328:AT328"/>
    <mergeCell ref="AB329:AT329"/>
    <mergeCell ref="AB330:AT330"/>
    <mergeCell ref="AB331:AT331"/>
    <mergeCell ref="AE332:AE334"/>
    <mergeCell ref="AF332:AF334"/>
    <mergeCell ref="AG332:AG333"/>
    <mergeCell ref="AH332:AH333"/>
    <mergeCell ref="AU332:AU336"/>
    <mergeCell ref="AJ332:AJ333"/>
    <mergeCell ref="AB332:AB335"/>
    <mergeCell ref="AC332:AC334"/>
    <mergeCell ref="AD332:AD334"/>
    <mergeCell ref="AI332:AI333"/>
    <mergeCell ref="F157:F170"/>
    <mergeCell ref="G158:G169"/>
    <mergeCell ref="H159:H168"/>
    <mergeCell ref="V159:AA159"/>
    <mergeCell ref="X162:X165"/>
    <mergeCell ref="Y162:Y165"/>
    <mergeCell ref="Z162:Z165"/>
    <mergeCell ref="AA162:AA165"/>
    <mergeCell ref="I160:I167"/>
    <mergeCell ref="P160:P167"/>
    <mergeCell ref="V160:AA160"/>
    <mergeCell ref="J161:J166"/>
    <mergeCell ref="Q161:Q166"/>
    <mergeCell ref="V161:AA161"/>
    <mergeCell ref="K162:K165"/>
    <mergeCell ref="S162:S165"/>
    <mergeCell ref="T162:T165"/>
    <mergeCell ref="R162:R165"/>
    <mergeCell ref="V157:AA157"/>
    <mergeCell ref="AB157:AT157"/>
    <mergeCell ref="V158:AA158"/>
    <mergeCell ref="AB158:AT158"/>
    <mergeCell ref="AB159:AT159"/>
    <mergeCell ref="AB160:AT160"/>
    <mergeCell ref="AB161:AT161"/>
    <mergeCell ref="AE162:AE164"/>
    <mergeCell ref="AF162:AF164"/>
    <mergeCell ref="AG162:AG163"/>
    <mergeCell ref="AH162:AH163"/>
    <mergeCell ref="AU162:AU166"/>
    <mergeCell ref="AJ162:AJ163"/>
    <mergeCell ref="AB162:AB165"/>
    <mergeCell ref="AC162:AC164"/>
    <mergeCell ref="AD162:AD164"/>
    <mergeCell ref="AI162:AI163"/>
    <mergeCell ref="F171:F184"/>
    <mergeCell ref="G172:G183"/>
    <mergeCell ref="H173:H182"/>
    <mergeCell ref="V173:AA173"/>
    <mergeCell ref="X176:X179"/>
    <mergeCell ref="Y176:Y179"/>
    <mergeCell ref="Z176:Z179"/>
    <mergeCell ref="AA176:AA179"/>
    <mergeCell ref="I174:I181"/>
    <mergeCell ref="P174:P181"/>
    <mergeCell ref="V174:AA174"/>
    <mergeCell ref="J175:J180"/>
    <mergeCell ref="Q175:Q180"/>
    <mergeCell ref="V175:AA175"/>
    <mergeCell ref="K176:K179"/>
    <mergeCell ref="S176:S179"/>
    <mergeCell ref="T176:T179"/>
    <mergeCell ref="R176:R179"/>
    <mergeCell ref="V171:AA171"/>
    <mergeCell ref="AB171:AT171"/>
    <mergeCell ref="V172:AA172"/>
    <mergeCell ref="AB172:AT172"/>
    <mergeCell ref="AB173:AT173"/>
    <mergeCell ref="AB174:AT174"/>
    <mergeCell ref="AB175:AT175"/>
    <mergeCell ref="AE176:AE178"/>
    <mergeCell ref="AF176:AF178"/>
    <mergeCell ref="AG176:AG177"/>
    <mergeCell ref="AH176:AH177"/>
    <mergeCell ref="AU176:AU180"/>
    <mergeCell ref="AJ176:AJ177"/>
    <mergeCell ref="AB176:AB179"/>
    <mergeCell ref="AC176:AC178"/>
    <mergeCell ref="AD176:AD178"/>
    <mergeCell ref="AI176:AI177"/>
    <mergeCell ref="F185:F198"/>
    <mergeCell ref="G186:G197"/>
    <mergeCell ref="H187:H196"/>
    <mergeCell ref="V187:AA187"/>
    <mergeCell ref="X190:X193"/>
    <mergeCell ref="Y190:Y193"/>
    <mergeCell ref="Z190:Z193"/>
    <mergeCell ref="AA190:AA193"/>
    <mergeCell ref="I188:I195"/>
    <mergeCell ref="P188:P195"/>
    <mergeCell ref="V188:AA188"/>
    <mergeCell ref="J189:J194"/>
    <mergeCell ref="Q189:Q194"/>
    <mergeCell ref="V189:AA189"/>
    <mergeCell ref="K190:K193"/>
    <mergeCell ref="S190:S193"/>
    <mergeCell ref="T190:T193"/>
    <mergeCell ref="R190:R193"/>
    <mergeCell ref="V185:AA185"/>
    <mergeCell ref="AB185:AT185"/>
    <mergeCell ref="V186:AA186"/>
    <mergeCell ref="AB186:AT186"/>
    <mergeCell ref="AB187:AT187"/>
    <mergeCell ref="AB188:AT188"/>
    <mergeCell ref="AB189:AT189"/>
    <mergeCell ref="AE190:AE192"/>
    <mergeCell ref="AF190:AF192"/>
    <mergeCell ref="AG190:AG191"/>
    <mergeCell ref="AH190:AH191"/>
    <mergeCell ref="AU190:AU194"/>
    <mergeCell ref="AJ190:AJ191"/>
    <mergeCell ref="AB190:AB193"/>
    <mergeCell ref="AC190:AC192"/>
    <mergeCell ref="AD190:AD192"/>
    <mergeCell ref="AI190:AI191"/>
    <mergeCell ref="F199:F212"/>
    <mergeCell ref="G200:G211"/>
    <mergeCell ref="H201:H210"/>
    <mergeCell ref="V201:AA201"/>
    <mergeCell ref="X204:X207"/>
    <mergeCell ref="Y204:Y207"/>
    <mergeCell ref="Z204:Z207"/>
    <mergeCell ref="AA204:AA207"/>
    <mergeCell ref="I202:I209"/>
    <mergeCell ref="P202:P209"/>
    <mergeCell ref="V202:AA202"/>
    <mergeCell ref="J203:J208"/>
    <mergeCell ref="Q203:Q208"/>
    <mergeCell ref="V203:AA203"/>
    <mergeCell ref="K204:K207"/>
    <mergeCell ref="S204:S207"/>
    <mergeCell ref="T204:T207"/>
    <mergeCell ref="R204:R207"/>
    <mergeCell ref="V199:AA199"/>
    <mergeCell ref="AB199:AT199"/>
    <mergeCell ref="V200:AA200"/>
    <mergeCell ref="AB200:AT200"/>
    <mergeCell ref="AB201:AT201"/>
    <mergeCell ref="AB202:AT202"/>
    <mergeCell ref="AB203:AT203"/>
    <mergeCell ref="AE204:AE206"/>
    <mergeCell ref="AF204:AF206"/>
    <mergeCell ref="AG204:AG205"/>
    <mergeCell ref="AH204:AH205"/>
    <mergeCell ref="AU204:AU208"/>
    <mergeCell ref="AJ204:AJ205"/>
    <mergeCell ref="AB204:AB207"/>
    <mergeCell ref="AC204:AC206"/>
    <mergeCell ref="AD204:AD206"/>
    <mergeCell ref="AI204:AI205"/>
    <mergeCell ref="F213:F226"/>
    <mergeCell ref="G214:G225"/>
    <mergeCell ref="H215:H224"/>
    <mergeCell ref="V215:AA215"/>
    <mergeCell ref="X218:X221"/>
    <mergeCell ref="Y218:Y221"/>
    <mergeCell ref="Z218:Z221"/>
    <mergeCell ref="AA218:AA221"/>
    <mergeCell ref="I216:I223"/>
    <mergeCell ref="P216:P223"/>
    <mergeCell ref="V216:AA216"/>
    <mergeCell ref="J217:J222"/>
    <mergeCell ref="Q217:Q222"/>
    <mergeCell ref="V217:AA217"/>
    <mergeCell ref="K218:K221"/>
    <mergeCell ref="S218:S221"/>
    <mergeCell ref="T218:T221"/>
    <mergeCell ref="R218:R221"/>
    <mergeCell ref="V213:AA213"/>
    <mergeCell ref="AB213:AT213"/>
    <mergeCell ref="V214:AA214"/>
    <mergeCell ref="AB214:AT214"/>
    <mergeCell ref="AB215:AT215"/>
    <mergeCell ref="AB216:AT216"/>
    <mergeCell ref="AB217:AT217"/>
    <mergeCell ref="AE218:AE220"/>
    <mergeCell ref="AF218:AF220"/>
    <mergeCell ref="AG218:AG219"/>
    <mergeCell ref="AH218:AH219"/>
    <mergeCell ref="AU218:AU222"/>
    <mergeCell ref="AJ218:AJ219"/>
    <mergeCell ref="AB218:AB221"/>
    <mergeCell ref="AC218:AC220"/>
    <mergeCell ref="AD218:AD220"/>
    <mergeCell ref="AI218:AI219"/>
    <mergeCell ref="F227:F240"/>
    <mergeCell ref="G228:G239"/>
    <mergeCell ref="H229:H238"/>
    <mergeCell ref="V229:AA229"/>
    <mergeCell ref="X232:X235"/>
    <mergeCell ref="Y232:Y235"/>
    <mergeCell ref="Z232:Z235"/>
    <mergeCell ref="AA232:AA235"/>
    <mergeCell ref="I230:I237"/>
    <mergeCell ref="P230:P237"/>
    <mergeCell ref="V230:AA230"/>
    <mergeCell ref="J231:J236"/>
    <mergeCell ref="Q231:Q236"/>
    <mergeCell ref="V231:AA231"/>
    <mergeCell ref="K232:K235"/>
    <mergeCell ref="S232:S235"/>
    <mergeCell ref="T232:T235"/>
    <mergeCell ref="R232:R235"/>
    <mergeCell ref="V227:AA227"/>
    <mergeCell ref="AB227:AT227"/>
    <mergeCell ref="V228:AA228"/>
    <mergeCell ref="AB228:AT228"/>
    <mergeCell ref="AB229:AT229"/>
    <mergeCell ref="AB230:AT230"/>
    <mergeCell ref="AB231:AT231"/>
    <mergeCell ref="AE232:AE234"/>
    <mergeCell ref="AF232:AF234"/>
    <mergeCell ref="AG232:AG233"/>
    <mergeCell ref="AH232:AH233"/>
    <mergeCell ref="AU232:AU236"/>
    <mergeCell ref="AJ232:AJ233"/>
    <mergeCell ref="AB232:AB235"/>
    <mergeCell ref="AC232:AC234"/>
    <mergeCell ref="AD232:AD234"/>
    <mergeCell ref="AI232:AI233"/>
    <mergeCell ref="F241:F254"/>
    <mergeCell ref="G242:G253"/>
    <mergeCell ref="H243:H252"/>
    <mergeCell ref="V243:AA243"/>
    <mergeCell ref="X246:X249"/>
    <mergeCell ref="Y246:Y249"/>
    <mergeCell ref="Z246:Z249"/>
    <mergeCell ref="AA246:AA249"/>
    <mergeCell ref="I244:I251"/>
    <mergeCell ref="P244:P251"/>
    <mergeCell ref="V244:AA244"/>
    <mergeCell ref="J245:J250"/>
    <mergeCell ref="Q245:Q250"/>
    <mergeCell ref="V245:AA245"/>
    <mergeCell ref="K246:K249"/>
    <mergeCell ref="S246:S249"/>
    <mergeCell ref="T246:T249"/>
    <mergeCell ref="R246:R249"/>
    <mergeCell ref="V241:AA241"/>
    <mergeCell ref="AB241:AT241"/>
    <mergeCell ref="V242:AA242"/>
    <mergeCell ref="AB242:AT242"/>
    <mergeCell ref="AB243:AT243"/>
    <mergeCell ref="AB244:AT244"/>
    <mergeCell ref="AB245:AT245"/>
    <mergeCell ref="AE246:AE248"/>
    <mergeCell ref="AF246:AF248"/>
    <mergeCell ref="AG246:AG247"/>
    <mergeCell ref="AH246:AH247"/>
    <mergeCell ref="AU246:AU250"/>
    <mergeCell ref="AJ246:AJ247"/>
    <mergeCell ref="AB246:AB249"/>
    <mergeCell ref="AC246:AC248"/>
    <mergeCell ref="AD246:AD248"/>
    <mergeCell ref="AI246:AI247"/>
    <mergeCell ref="F255:F268"/>
    <mergeCell ref="G256:G267"/>
    <mergeCell ref="H257:H266"/>
    <mergeCell ref="V257:AA257"/>
    <mergeCell ref="X260:X263"/>
    <mergeCell ref="Y260:Y263"/>
    <mergeCell ref="Z260:Z263"/>
    <mergeCell ref="AA260:AA263"/>
    <mergeCell ref="I258:I265"/>
    <mergeCell ref="P258:P265"/>
    <mergeCell ref="V258:AA258"/>
    <mergeCell ref="J259:J264"/>
    <mergeCell ref="Q259:Q264"/>
    <mergeCell ref="V259:AA259"/>
    <mergeCell ref="K260:K263"/>
    <mergeCell ref="S260:S263"/>
    <mergeCell ref="T260:T263"/>
    <mergeCell ref="R260:R263"/>
    <mergeCell ref="V255:AA255"/>
    <mergeCell ref="AB255:AT255"/>
    <mergeCell ref="V256:AA256"/>
    <mergeCell ref="AB256:AT256"/>
    <mergeCell ref="AB257:AT257"/>
    <mergeCell ref="AB258:AT258"/>
    <mergeCell ref="AB259:AT259"/>
    <mergeCell ref="AE260:AE262"/>
    <mergeCell ref="AF260:AF262"/>
    <mergeCell ref="AG260:AG261"/>
    <mergeCell ref="AH260:AH261"/>
    <mergeCell ref="AU260:AU264"/>
    <mergeCell ref="AJ260:AJ261"/>
    <mergeCell ref="AB260:AB263"/>
    <mergeCell ref="AC260:AC262"/>
    <mergeCell ref="AD260:AD262"/>
    <mergeCell ref="AI260:AI261"/>
    <mergeCell ref="F269:F282"/>
    <mergeCell ref="G270:G281"/>
    <mergeCell ref="H271:H280"/>
    <mergeCell ref="V271:AA271"/>
    <mergeCell ref="X274:X277"/>
    <mergeCell ref="Y274:Y277"/>
    <mergeCell ref="Z274:Z277"/>
    <mergeCell ref="AA274:AA277"/>
    <mergeCell ref="I272:I279"/>
    <mergeCell ref="P272:P279"/>
    <mergeCell ref="V272:AA272"/>
    <mergeCell ref="J273:J278"/>
    <mergeCell ref="Q273:Q278"/>
    <mergeCell ref="V273:AA273"/>
    <mergeCell ref="K274:K277"/>
    <mergeCell ref="S274:S277"/>
    <mergeCell ref="T274:T277"/>
    <mergeCell ref="R274:R277"/>
    <mergeCell ref="V269:AA269"/>
    <mergeCell ref="AB269:AT269"/>
    <mergeCell ref="V270:AA270"/>
    <mergeCell ref="AB270:AT270"/>
    <mergeCell ref="AB271:AT271"/>
    <mergeCell ref="AB272:AT272"/>
    <mergeCell ref="AB273:AT273"/>
    <mergeCell ref="AE274:AE276"/>
    <mergeCell ref="AF274:AF276"/>
    <mergeCell ref="AG274:AG275"/>
    <mergeCell ref="AH274:AH275"/>
    <mergeCell ref="AU274:AU278"/>
    <mergeCell ref="AJ274:AJ275"/>
    <mergeCell ref="AB274:AB277"/>
    <mergeCell ref="AC274:AC276"/>
    <mergeCell ref="AD274:AD276"/>
    <mergeCell ref="AI274:AI275"/>
    <mergeCell ref="F341:F354"/>
    <mergeCell ref="G342:G353"/>
    <mergeCell ref="H343:H352"/>
    <mergeCell ref="V343:AA343"/>
    <mergeCell ref="X346:X349"/>
    <mergeCell ref="Y346:Y349"/>
    <mergeCell ref="Z346:Z349"/>
    <mergeCell ref="AA346:AA349"/>
    <mergeCell ref="I344:I351"/>
    <mergeCell ref="P344:P351"/>
    <mergeCell ref="V344:AA344"/>
    <mergeCell ref="J345:J350"/>
    <mergeCell ref="Q345:Q350"/>
    <mergeCell ref="V345:AA345"/>
    <mergeCell ref="K346:K349"/>
    <mergeCell ref="S346:S349"/>
    <mergeCell ref="T346:T349"/>
    <mergeCell ref="R346:R349"/>
    <mergeCell ref="V341:AA341"/>
    <mergeCell ref="AB341:AT341"/>
    <mergeCell ref="V342:AA342"/>
    <mergeCell ref="AB342:AT342"/>
    <mergeCell ref="AB343:AT343"/>
    <mergeCell ref="AB344:AT344"/>
    <mergeCell ref="AB345:AT345"/>
    <mergeCell ref="AE346:AE348"/>
    <mergeCell ref="AF346:AF348"/>
    <mergeCell ref="AG346:AG347"/>
    <mergeCell ref="AH346:AH347"/>
    <mergeCell ref="AU346:AU350"/>
    <mergeCell ref="AJ346:AJ347"/>
    <mergeCell ref="AB346:AB349"/>
    <mergeCell ref="AC346:AC348"/>
    <mergeCell ref="AD346:AD348"/>
    <mergeCell ref="AI346:AI347"/>
    <mergeCell ref="F355:F368"/>
    <mergeCell ref="G356:G367"/>
    <mergeCell ref="H357:H366"/>
    <mergeCell ref="V357:AA357"/>
    <mergeCell ref="X360:X363"/>
    <mergeCell ref="Y360:Y363"/>
    <mergeCell ref="Z360:Z363"/>
    <mergeCell ref="AA360:AA363"/>
    <mergeCell ref="I358:I365"/>
    <mergeCell ref="P358:P365"/>
    <mergeCell ref="V358:AA358"/>
    <mergeCell ref="J359:J364"/>
    <mergeCell ref="Q359:Q364"/>
    <mergeCell ref="V359:AA359"/>
    <mergeCell ref="K360:K363"/>
    <mergeCell ref="S360:S363"/>
    <mergeCell ref="T360:T363"/>
    <mergeCell ref="R360:R363"/>
    <mergeCell ref="V355:AA355"/>
    <mergeCell ref="AB355:AT355"/>
    <mergeCell ref="V356:AA356"/>
    <mergeCell ref="AB356:AT356"/>
    <mergeCell ref="AB357:AT357"/>
    <mergeCell ref="AB358:AT358"/>
    <mergeCell ref="AB359:AT359"/>
    <mergeCell ref="AE360:AE362"/>
    <mergeCell ref="AF360:AF362"/>
    <mergeCell ref="AG360:AG361"/>
    <mergeCell ref="AH360:AH361"/>
    <mergeCell ref="AU360:AU364"/>
    <mergeCell ref="AJ360:AJ361"/>
    <mergeCell ref="AB360:AB363"/>
    <mergeCell ref="AC360:AC362"/>
    <mergeCell ref="AD360:AD362"/>
    <mergeCell ref="AI360:AI361"/>
    <mergeCell ref="F369:F382"/>
    <mergeCell ref="G370:G381"/>
    <mergeCell ref="H371:H380"/>
    <mergeCell ref="V371:AA371"/>
    <mergeCell ref="X374:X377"/>
    <mergeCell ref="Y374:Y377"/>
    <mergeCell ref="Z374:Z377"/>
    <mergeCell ref="AA374:AA377"/>
    <mergeCell ref="I372:I379"/>
    <mergeCell ref="P372:P379"/>
    <mergeCell ref="V372:AA372"/>
    <mergeCell ref="J373:J378"/>
    <mergeCell ref="Q373:Q378"/>
    <mergeCell ref="V373:AA373"/>
    <mergeCell ref="K374:K377"/>
    <mergeCell ref="S374:S377"/>
    <mergeCell ref="T374:T377"/>
    <mergeCell ref="R374:R377"/>
    <mergeCell ref="V369:AA369"/>
    <mergeCell ref="AB369:AT369"/>
    <mergeCell ref="V370:AA370"/>
    <mergeCell ref="AB370:AT370"/>
    <mergeCell ref="AB371:AT371"/>
    <mergeCell ref="AB372:AT372"/>
    <mergeCell ref="AB373:AT373"/>
    <mergeCell ref="AE374:AE376"/>
    <mergeCell ref="AF374:AF376"/>
    <mergeCell ref="AG374:AG375"/>
    <mergeCell ref="AH374:AH375"/>
    <mergeCell ref="AU374:AU378"/>
    <mergeCell ref="AJ374:AJ375"/>
    <mergeCell ref="AB374:AB377"/>
    <mergeCell ref="AC374:AC376"/>
    <mergeCell ref="AD374:AD376"/>
    <mergeCell ref="AI374:AI375"/>
  </mergeCells>
  <dataValidations count="10">
    <dataValidation allowBlank="1" showInputMessage="1" showErrorMessage="1" prompt="Для выбора выполните двойной щелчок левой клавиши мыши по соответствующей ячейке." sqref="Y65912 Y131448 Y196984 Y262520 Y328056 Y393592 Y459128 Y524664 Y590200 Y655736 Y721272 Y786808 Y852344 Y917880 Y983416 AA131448 AA459128 AA196984 AA262520 AA328056 AA393592 AA524664 AA590200 AA655736 AA721272 AA786808 AA852344 AA917880 AA983416 AA65912 AA8:AA10 Y8:Y10 AQ65912 AQ131448 AQ196984 AQ262520 AQ328056 AQ393592 AQ459128 AQ524664 AQ590200 AQ655736 AQ721272 AQ786808 AQ852344 AQ917880 AQ983416 AS131448 AS459128 AS196984 AS262520 AS328056 AS393592 AS524664 AS590200 AS655736 AS721272 AS786808 AS852344 AS917880 AS983416 AS65912 AQ8 AB8 AE8:AF8 AI8:AJ8 AQ19 AS51 AS19 AB19 AE19:AF19 AI19:AJ19 AI51:AJ51 AE51:AF51 AA51:AB51 AS8 AQ51 Y51 Y66 AA66 AB66 AE66 AF66 AI66 AJ66 AQ66 AS66 Y67 AA67 Y68 AA68 Y290 AA290 AB290 AE290 AF290 AI290 AJ290 AQ290 AS290 Y291 AA291 Y292 AA292 Y80 AA80 AB80 AE80 AF80 AI80 AJ80 AQ80 AS80 Y81 AA81 Y82 AA82 Y304 AA304 AB304 AE304 AF304 AI304 AJ304 AQ304 AS304 Y305 AA305 Y306 AA306 Y106 AA106 AB106 AE106 AF106 AI106 AJ106 AQ106 AS106 Y107 AA107 Y108 AA108 Y318 AA318 AB318 AE318 AF318 AI318 AJ318 AQ318 AS318 Y319 AA319 Y320 AA320 Y120 AA120 AB120 AE120 AF120 AI120 AJ120 AQ120 AS120 Y121 AA121 Y122 AA122 Y92 AA92 AB92 AE92 AF92 AI92 AJ92 AQ92 AS92 Y93 AA93 Y94 AA94 Y134 AA134 AB134 AE134 AF134 AI134 AJ134 AQ134 AS134 Y135 AA135 Y136 AA136 Y148 AA148 AB148 AE148 AF148 AI148 AJ148 AQ148 AS148 Y149 AA149 Y150 AA150 Y332 AA332 AB332 AE332 AF332 AI332 AJ332 AQ332 AS332 Y333 AA333 Y334 AA334 Y162 AA162 AB162 AE162 AF162 AI162 AJ162 AQ162 AS162 Y163 AA163 Y164 AA164 Y176 AA176 AB176 AE176 AF176 AI176 AJ176 AQ176 AS176 Y177 AA177 Y178 AA178 Y190 AA190 AB190 AE190 AF190 AI190 AJ190 AQ190 AS190 Y191 AA191 Y192 AA192 Y204 AA204 AB204 AE204 AF204 AI204 AJ204 AQ204 AS204 Y205 AA205 Y206 AA206 Y218 AA218 AB218 AE218 AF218 AI218 AJ218 AQ218 AS218 Y219 AA219 Y220 AA220 Y232 AA232 AB232 AE232 AF232 AI232 AJ232 AQ232 AS232 Y233 AA233 Y234 AA234 Y246 AA246 AB246 AE246 AF246 AI246 AJ246 AQ246 AS246 Y247 AA247 Y248 AA248 Y260 AA260 AB260 AE260 AF260 AI260 AJ260 AQ260 AS260 Y261 AA261 Y262 AA262 Y274 AA274 AB274 AE274 AF274 AI274 AJ274 AQ274 AS274 Y275 AA275 Y276 AA276 Y346 AA346 AB346 AE346 AF346 AI346 AJ346 AQ346 AS346 Y347 AA347 Y348 AA348 Y360 AA360 AB360 AE360 AF360 AI360 AJ360 AQ360 AS360 Y361 AA361 Y362 AA362 Y374 AA374 AB374 AE374 AF374 AI374 AJ374 AQ374 AS374 Y375 AA375 Y376 AA376"/>
    <dataValidation type="textLength" operator="lessThanOrEqual" allowBlank="1" showInputMessage="1" showErrorMessage="1" errorTitle="Ошибка" error="Допускается ввод не более 900 символов!" sqref="AU65906:AU65913 AU131442:AU131449 AU196978:AU196985 AU262514:AU262521 AU328050:AU328057 AU393586:AU393593 AU459122:AU459129 AU524658:AU524665 AU590194:AU590201 AU655730:AU655737 AU721266:AU721273 AU786802:AU786809 AU852338:AU852345 AU917874:AU917881 AU983410:AU983417 T8:T11 T51:T54 T66 T67 T68 T69 T290 T291 T292 T293 T80 T81 T82 T83 T304 T305 T306 T307 T106 T107 T108 T109 T318 T319 T320 T321 T120 T121 T122 T123 T92 T93 T94 T95 T134 T135 T136 T137 T148 T149 T150 T151 T332 T333 T334 T335 T162 T163 T164 T165 T176 T177 T178 T179 T190 T191 T192 T193 T204 T205 T206 T207 T218 T219 T220 T221 T232 T233 T234 T235 T246 T247 T248 T249 T260 T261 T262 T263 T274 T275 T276 T277 T346 T347 T348 T349 T360 T361 T362 T363 T374 T375 T376 T377">
      <formula1>900</formula1>
    </dataValidation>
    <dataValidation allowBlank="1" promptTitle="checkPeriodRange" sqref="W65913 W131449 W196985 W262521 W328057 W393593 W459129 W524665 W590201 W655737 W721273 W786809 W852345 W917881 W983417 AO54 W11 AO65913 AO131449 AO196985 AO262521 AO328057 AO393593 AO459129 AO524665 AO590201 AO655737 AO721273 AO786809 AO852345 AO917881 AO983417 AO11 W54 W69 AO69 W293 AO293 W83 AO83 W307 AO307 W109 AO109 W321 AO321 W123 AO123 W95 AO95 W137 AO137 W151 AO151 W335 AO335 W165 AO165 W179 AO179 W193 AO193 W207 AO207 W221 AO221 W235 AO235 W249 AO249 W263 AO263 W277 AO277 W349 AO349 W363 AO363 W377 AO37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912 X131448 X196984 X262520 X328056 X393592 X459128 X524664 X590200 X655736 X721272 X786808 X852344 X917880 X983416 Z65912 Z131448 Z196984 Z262520 Z328056 Z393592 Z459128 Z524664 Z590200 Z655736 Z721272 Z786808 Z852344 Z917880 Z983416 X8:X10 Z8:Z10 AP65912 AP131448 AP196984 AP262520 AP328056 AP393592 AP459128 AP524664 AP590200 AP655736 AP721272 AP786808 AP852344 AP917880 AP983416 AR65912 AR131448 AR196984 AR262520 AR328056 AR393592 AR459128 AR524664 AR590200 AR655736 AR721272 AR786808 AR852344 AR917880 AR983416 AR8 AR51 AR19 AP19 AP8 AP51 Z51 X51 X66 Z66 AP66 AR66 X67 Z67 X68 Z68 X290 Z290 AP290 AR290 X291 Z291 X292 Z292 X80 Z80 AP80 AR80 X81 Z81 X82 Z82 X304 Z304 AP304 AR304 X305 Z305 X306 Z306 X106 Z106 AP106 AR106 X107 Z107 X108 Z108 X318 Z318 AP318 AR318 X319 Z319 X320 Z320 X120 Z120 AP120 AR120 X121 Z121 X122 Z122 X92 Z92 AP92 AR92 X93 Z93 X94 Z94 X134 Z134 AP134 AR134 X135 Z135 X136 Z136 X148 Z148 AP148 AR148 X149 Z149 X150 Z150 X332 Z332 AP332 AR332 X333 Z333 X334 Z334 X162 Z162 AP162 AR162 X163 Z163 X164 Z164 X176 Z176 AP176 AR176 X177 Z177 X178 Z178 X190 Z190 AP190 AR190 X191 Z191 X192 Z192 X204 Z204 AP204 AR204 X205 Z205 X206 Z206 X218 Z218 AP218 AR218 X219 Z219 X220 Z220 X232 Z232 AP232 AR232 X233 Z233 X234 Z234 X246 Z246 AP246 AR246 X247 Z247 X248 Z248 X260 Z260 AP260 AR260 X261 Z261 X262 Z262 X274 Z274 AP274 AR274 X275 Z275 X276 Z276 X346 Z346 AP346 AR346 X347 Z347 X348 Z348 X360 Z360 AP360 AR360 X361 Z361 X362 Z362 X374 Z374 AP374 AR374 X375 Z375 X376 Z376"/>
    <dataValidation type="list" allowBlank="1" showInputMessage="1" showErrorMessage="1" errorTitle="Ошибка" error="Выберите значение из списка" sqref="AB983414:AM983414 AB65910:AM65910 AB131446:AM131446 AB196982:AM196982 AB262518:AM262518 AB328054:AM328054 AB393590:AM393590 AB459126:AM459126 AB524662:AM524662 AB590198:AM590198 AB655734:AM655734 AB721270:AM721270 AB786806:AM786806 AB852342:AM852342 AB917878:AM917878">
      <formula1>kind_of_scheme_in</formula1>
    </dataValidation>
    <dataValidation type="list" allowBlank="1" showInputMessage="1" showErrorMessage="1" errorTitle="Ошибка" error="Выберите значение из списка" sqref="T65912 T131448 T196984 T262520 T328056 T393592 T459128 T524664 T590200 T655736 T721272 T786808 T852344 T917880 T983416">
      <formula1>kind_of_heat_transfer</formula1>
    </dataValidation>
    <dataValidation allowBlank="1" sqref="S131450:AU131456 S196986:AU196992 S262522:AU262528 S328058:AU328064 S393594:AU393600 S459130:AU459136 S524666:AU524672 S590202:AU590208 S655738:AU655744 S721274:AU721280 S786810:AU786816 S852346:AU852352 S917882:AU917888 S983418:AU983424 S65914:AU65920"/>
    <dataValidation type="list" allowBlank="1" showInputMessage="1" errorTitle="Ошибка" error="Выберите значение из списка" prompt="Выберите значение из списка" sqref="V917879:AT917879 V983415:AT983415 V65911:AT65911 V131447:AT131447 V196983:AT196983 V262519:AT262519 V328055:AT328055 V393591:AT393591 V459127:AT459127 V524663:AT524663 V590199:AT590199 V655735:AT655735 V721271:AT721271 V786807:AT786807 V852343:AT852343">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EA30E-23ED-07C3-6624-FF5769CC2E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4" style="1651" width="24.7109375" hidden="1" customWidth="1"/>
    <col min="25" max="25" style="1651" width="11.7109375" hidden="1" customWidth="1"/>
    <col min="26" max="26" style="1651" width="3.7109375" hidden="1" customWidth="1"/>
    <col min="27" max="27" style="1651" width="11.7109375" hidden="1" customWidth="1"/>
    <col min="28" max="28" style="1651" width="8.57421875" hidden="1" customWidth="1"/>
    <col min="29" max="29" style="1651" width="24.7109375" customWidth="1"/>
    <col min="30" max="31" style="1651" width="24.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22.5" hidden="1">
      <c r="X1" s="343"/>
      <c r="Y1" s="343"/>
      <c r="AE1" s="343"/>
      <c r="AF1" s="343"/>
      <c r="AQ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441">
        <f>INDEX(PT_DIFFERENTIATION_NUM_NTAR,MATCH(A2,PT_DIFFERENTIATION_NTAR_ID,0))</f>
      </c>
      <c r="T2" s="314" t="s">
        <v>192</v>
      </c>
      <c r="U2" s="316"/>
      <c r="V2" s="2258"/>
      <c r="W2" s="2259"/>
      <c r="X2" s="2259"/>
      <c r="Y2" s="2259"/>
      <c r="Z2" s="2259"/>
      <c r="AA2" s="2259"/>
      <c r="AB2" s="2260"/>
      <c r="AC2" s="2258">
        <f>INDEX(PT_DIFFERENTIATION_NTAR,MATCH(A2,PT_DIFFERENTIATION_NTAR_ID,0))</f>
      </c>
      <c r="AD2" s="2259"/>
      <c r="AE2" s="2259"/>
      <c r="AF2" s="2259"/>
      <c r="AG2" s="2259"/>
      <c r="AH2" s="2259"/>
      <c r="AI2" s="2259"/>
      <c r="AJ2" s="2260"/>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6"/>
      <c r="AN2" s="516" t="str">
        <f>IF(T2="","",T2)</f>
        <v>Наименование тарифа</v>
      </c>
      <c r="AO2" s="516"/>
      <c r="AP2" s="516"/>
      <c r="AQ2" s="1171">
        <v>0</v>
      </c>
    </row>
    <row customHeight="1" ht="23.25" hidden="1">
      <c r="A3" s="1379"/>
      <c r="B3" s="1379"/>
      <c r="C3" s="1379"/>
      <c r="D3" s="1379"/>
      <c r="E3" s="2275"/>
      <c r="F3" s="2274">
        <v>1</v>
      </c>
      <c r="G3" s="1379"/>
      <c r="H3" s="1379"/>
      <c r="I3" s="1379"/>
      <c r="J3" s="1379"/>
      <c r="K3" s="1379"/>
      <c r="L3" s="1380"/>
      <c r="M3" s="1381"/>
      <c r="N3" s="1381"/>
      <c r="O3" s="1381"/>
      <c r="P3" s="1439"/>
      <c r="Q3" s="368"/>
      <c r="R3" s="369"/>
      <c r="S3" s="1441">
        <f>INDEX(PT_DIFFERENTIATION_NUM_TER,MATCH(B3,PT_DIFFERENTIATION_TER_ID,0))</f>
      </c>
      <c r="T3" s="324" t="s">
        <v>550</v>
      </c>
      <c r="U3" s="316"/>
      <c r="V3" s="2258"/>
      <c r="W3" s="2259"/>
      <c r="X3" s="2259"/>
      <c r="Y3" s="2259"/>
      <c r="Z3" s="2259"/>
      <c r="AA3" s="2259"/>
      <c r="AB3" s="2260"/>
      <c r="AC3" s="2258">
        <f>INDEX(PT_DIFFERENTIATION_TER,MATCH(B3,PT_DIFFERENTIATION_TER_ID,0))</f>
      </c>
      <c r="AD3" s="2259"/>
      <c r="AE3" s="2259"/>
      <c r="AF3" s="2259"/>
      <c r="AG3" s="2259"/>
      <c r="AH3" s="2259"/>
      <c r="AI3" s="2259"/>
      <c r="AJ3" s="2260"/>
      <c r="AK3" s="1274" t="s">
        <v>551</v>
      </c>
      <c r="AM3" s="516"/>
      <c r="AN3" s="516" t="str">
        <f>IF(T3="","",T3)</f>
        <v>Территория действия тарифа</v>
      </c>
      <c r="AO3" s="516"/>
      <c r="AP3" s="516"/>
      <c r="AQ3" s="1171">
        <v>0</v>
      </c>
    </row>
    <row customHeight="1" ht="23.25" hidden="1">
      <c r="A4" s="1379"/>
      <c r="B4" s="1379"/>
      <c r="C4" s="1379"/>
      <c r="D4" s="1379"/>
      <c r="E4" s="2275"/>
      <c r="F4" s="2275"/>
      <c r="G4" s="2274">
        <v>1</v>
      </c>
      <c r="H4" s="1379"/>
      <c r="I4" s="1379"/>
      <c r="J4" s="1379"/>
      <c r="K4" s="1379"/>
      <c r="L4" s="1380"/>
      <c r="M4" s="1381"/>
      <c r="N4" s="1381"/>
      <c r="O4" s="1381"/>
      <c r="P4" s="370"/>
      <c r="Q4" s="368"/>
      <c r="R4" s="369"/>
      <c r="S4" s="1441">
        <f>INDEX(PT_DIFFERENTIATION_NUM_CS,MATCH(C4,PT_DIFFERENTIATION_CS_ID,0))</f>
      </c>
      <c r="T4" s="325" t="s">
        <v>634</v>
      </c>
      <c r="U4" s="316"/>
      <c r="V4" s="2258"/>
      <c r="W4" s="2259"/>
      <c r="X4" s="2259"/>
      <c r="Y4" s="2259"/>
      <c r="Z4" s="2259"/>
      <c r="AA4" s="2259"/>
      <c r="AB4" s="2260"/>
      <c r="AC4" s="2258">
        <f>INDEX(PT_DIFFERENTIATION_CS,MATCH(C4,PT_DIFFERENTIATION_CS_ID,0))</f>
      </c>
      <c r="AD4" s="2259"/>
      <c r="AE4" s="2259"/>
      <c r="AF4" s="2259"/>
      <c r="AG4" s="2259"/>
      <c r="AH4" s="2259"/>
      <c r="AI4" s="2259"/>
      <c r="AJ4" s="2260"/>
      <c r="AK4" s="1274" t="s">
        <v>635</v>
      </c>
      <c r="AM4" s="516"/>
      <c r="AN4" s="516" t="str">
        <f>IF(T4="","",T4)</f>
        <v>Наименование централизованной системы холодного водоснабжения</v>
      </c>
      <c r="AO4" s="516"/>
      <c r="AP4" s="516"/>
      <c r="AQ4" s="1171">
        <v>0</v>
      </c>
    </row>
    <row customHeight="1" ht="23.25" hidden="1">
      <c r="A5" s="1379"/>
      <c r="B5" s="1379"/>
      <c r="C5" s="1379"/>
      <c r="D5" s="1379"/>
      <c r="E5" s="2275"/>
      <c r="F5" s="2275"/>
      <c r="G5" s="2275"/>
      <c r="H5" s="2275"/>
      <c r="I5" s="2272">
        <f>S4&amp;".1"</f>
      </c>
      <c r="J5" s="1379"/>
      <c r="K5" s="1379"/>
      <c r="L5" s="1380"/>
      <c r="P5" s="2273">
        <v>1</v>
      </c>
      <c r="Q5" s="1438"/>
      <c r="R5" s="372"/>
      <c r="S5" s="1441">
        <f>$I5</f>
      </c>
      <c r="T5" s="301" t="s">
        <v>636</v>
      </c>
      <c r="U5" s="316"/>
      <c r="V5" s="2366"/>
      <c r="W5" s="2367"/>
      <c r="X5" s="2367"/>
      <c r="Y5" s="2367"/>
      <c r="Z5" s="2367"/>
      <c r="AA5" s="2367"/>
      <c r="AB5" s="2368"/>
      <c r="AC5" s="2369"/>
      <c r="AD5" s="2370"/>
      <c r="AE5" s="2370"/>
      <c r="AF5" s="2370"/>
      <c r="AG5" s="2370"/>
      <c r="AH5" s="2370"/>
      <c r="AI5" s="2370"/>
      <c r="AJ5" s="2371"/>
      <c r="AK5" s="1274" t="s">
        <v>637</v>
      </c>
      <c r="AM5" s="516"/>
      <c r="AN5" s="516" t="str">
        <f>IF(T5="","",T5)</f>
        <v>Наименование признака дифференциации</v>
      </c>
      <c r="AO5" s="516"/>
      <c r="AP5" s="516"/>
      <c r="AQ5" s="1171">
        <v>0</v>
      </c>
    </row>
    <row customHeight="1" ht="23.25" hidden="1">
      <c r="A6" s="1379"/>
      <c r="B6" s="1379"/>
      <c r="C6" s="1379"/>
      <c r="D6" s="1379"/>
      <c r="E6" s="2275"/>
      <c r="F6" s="2275"/>
      <c r="G6" s="2275"/>
      <c r="H6" s="2275"/>
      <c r="I6" s="2302"/>
      <c r="J6" s="2272">
        <f>I5&amp;".1"</f>
      </c>
      <c r="K6" s="1379"/>
      <c r="L6" s="1380" t="s">
        <v>559</v>
      </c>
      <c r="P6" s="2273"/>
      <c r="Q6" s="2273">
        <v>1</v>
      </c>
      <c r="R6" s="373"/>
      <c r="S6" s="1441">
        <f>$J6</f>
      </c>
      <c r="T6" s="302" t="s">
        <v>560</v>
      </c>
      <c r="U6" s="316"/>
      <c r="V6" s="2261"/>
      <c r="W6" s="2262"/>
      <c r="X6" s="2262"/>
      <c r="Y6" s="2262"/>
      <c r="Z6" s="2262"/>
      <c r="AA6" s="2262"/>
      <c r="AB6" s="2263"/>
      <c r="AC6" s="2261"/>
      <c r="AD6" s="2262"/>
      <c r="AE6" s="2262"/>
      <c r="AF6" s="2262"/>
      <c r="AG6" s="2262"/>
      <c r="AH6" s="2262"/>
      <c r="AI6" s="2262"/>
      <c r="AJ6" s="2263"/>
      <c r="AK6" s="1323" t="s">
        <v>638</v>
      </c>
      <c r="AM6" s="516"/>
      <c r="AN6" s="516" t="str">
        <f>IF(T6="","",T6)</f>
        <v>Группа потребителей</v>
      </c>
      <c r="AO6" s="516"/>
      <c r="AP6" s="516"/>
      <c r="AQ6" s="1171">
        <v>0</v>
      </c>
    </row>
    <row customHeight="1" ht="23.25" hidden="1">
      <c r="A7" s="1379"/>
      <c r="B7" s="1379"/>
      <c r="C7" s="1379"/>
      <c r="D7" s="1379"/>
      <c r="E7" s="2275"/>
      <c r="F7" s="2275"/>
      <c r="G7" s="2275"/>
      <c r="H7" s="2275"/>
      <c r="I7" s="2302"/>
      <c r="J7" s="2302"/>
      <c r="K7" s="2272">
        <f>J6&amp;".1"</f>
      </c>
      <c r="L7" s="1380"/>
      <c r="P7" s="2273"/>
      <c r="Q7" s="2273"/>
      <c r="R7" s="373">
        <v>1</v>
      </c>
      <c r="S7" s="1441">
        <f>$K7</f>
      </c>
      <c r="T7" s="1453"/>
      <c r="U7" s="316"/>
      <c r="V7" s="767"/>
      <c r="W7" s="767"/>
      <c r="X7" s="1273"/>
      <c r="Y7" s="2281"/>
      <c r="Z7" s="2123" t="s">
        <v>64</v>
      </c>
      <c r="AA7" s="2281"/>
      <c r="AB7" s="2123" t="s">
        <v>64</v>
      </c>
      <c r="AC7" s="767"/>
      <c r="AD7" s="767"/>
      <c r="AE7" s="1273"/>
      <c r="AF7" s="2281"/>
      <c r="AG7" s="2123" t="s">
        <v>64</v>
      </c>
      <c r="AH7" s="2303"/>
      <c r="AI7" s="2123" t="s">
        <v>64</v>
      </c>
      <c r="AJ7" s="1454"/>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7">
        <f>STRCHECKDATE(V8:AJ8)</f>
      </c>
      <c r="AM7" s="516"/>
      <c r="AN7" s="516" t="str">
        <f>IF(T7="","",T7)</f>
        <v/>
      </c>
      <c r="AO7" s="516"/>
      <c r="AP7" s="516"/>
      <c r="AQ7" s="1171">
        <v>0</v>
      </c>
    </row>
    <row customHeight="1" ht="14.25" hidden="1">
      <c r="A8" s="1379"/>
      <c r="B8" s="1379"/>
      <c r="C8" s="1379"/>
      <c r="D8" s="1379"/>
      <c r="E8" s="2275"/>
      <c r="F8" s="2275"/>
      <c r="G8" s="2275"/>
      <c r="H8" s="2275"/>
      <c r="I8" s="2302"/>
      <c r="J8" s="2302"/>
      <c r="K8" s="2272"/>
      <c r="L8" s="1380"/>
      <c r="P8" s="2273"/>
      <c r="Q8" s="2273"/>
      <c r="R8" s="373"/>
      <c r="S8" s="1440"/>
      <c r="T8" s="316"/>
      <c r="U8" s="316"/>
      <c r="V8" s="341"/>
      <c r="W8" s="341"/>
      <c r="X8" s="344" t="str">
        <f>Y7&amp;"-"&amp;AA7</f>
        <v>-</v>
      </c>
      <c r="Y8" s="2282"/>
      <c r="Z8" s="2123"/>
      <c r="AA8" s="2282"/>
      <c r="AB8" s="2123"/>
      <c r="AC8" s="341"/>
      <c r="AD8" s="341"/>
      <c r="AE8" s="344" t="str">
        <f>AF7&amp;"-"&amp;AH7</f>
        <v>-</v>
      </c>
      <c r="AF8" s="2282"/>
      <c r="AG8" s="2123"/>
      <c r="AH8" s="2304"/>
      <c r="AI8" s="2123"/>
      <c r="AJ8" s="1455"/>
      <c r="AK8" s="2365"/>
      <c r="AM8" s="516"/>
      <c r="AN8" s="516" t="str">
        <f>IF(T8="","",T8)</f>
        <v/>
      </c>
      <c r="AO8" s="516"/>
      <c r="AP8" s="516"/>
      <c r="AQ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383"/>
      <c r="X9" s="383"/>
      <c r="Y9" s="383"/>
      <c r="Z9" s="383"/>
      <c r="AA9" s="383"/>
      <c r="AB9" s="383"/>
      <c r="AC9" s="383"/>
      <c r="AD9" s="383"/>
      <c r="AE9" s="383"/>
      <c r="AF9" s="383"/>
      <c r="AG9" s="383"/>
      <c r="AH9" s="383"/>
      <c r="AI9" s="383"/>
      <c r="AJ9" s="383"/>
      <c r="AK9" s="1274" t="s">
        <v>640</v>
      </c>
      <c r="AM9" s="516"/>
      <c r="AN9" s="516" t="str">
        <f>IF(T9="","",T9)</f>
        <v>Добавить значение признака дифференциации</v>
      </c>
      <c r="AO9" s="516"/>
      <c r="AP9" s="516"/>
      <c r="AQ9" s="1171">
        <v>0</v>
      </c>
    </row>
    <row customHeight="1" ht="21" hidden="1">
      <c r="A10" s="1379"/>
      <c r="B10" s="1379"/>
      <c r="C10" s="1379"/>
      <c r="D10" s="1379"/>
      <c r="E10" s="2275"/>
      <c r="F10" s="2275"/>
      <c r="G10" s="2275"/>
      <c r="H10" s="2275"/>
      <c r="I10" s="2272"/>
      <c r="J10" s="1379"/>
      <c r="K10" s="1379"/>
      <c r="L10" s="1380"/>
      <c r="P10" s="2273"/>
      <c r="Q10" s="1438"/>
      <c r="R10" s="372"/>
      <c r="S10" s="1294"/>
      <c r="T10" s="381" t="s">
        <v>565</v>
      </c>
      <c r="U10" s="383"/>
      <c r="V10" s="383"/>
      <c r="W10" s="383"/>
      <c r="X10" s="383"/>
      <c r="Y10" s="383"/>
      <c r="Z10" s="383"/>
      <c r="AA10" s="383"/>
      <c r="AB10" s="382"/>
      <c r="AC10" s="383"/>
      <c r="AD10" s="383"/>
      <c r="AE10" s="383"/>
      <c r="AF10" s="383"/>
      <c r="AG10" s="383"/>
      <c r="AH10" s="383"/>
      <c r="AI10" s="382"/>
      <c r="AJ10" s="383"/>
      <c r="AK10" s="1456"/>
      <c r="AM10" s="516"/>
      <c r="AN10" s="516" t="str">
        <f>IF(T10="","",T10)</f>
        <v>Добавить группу потребителей</v>
      </c>
      <c r="AO10" s="516"/>
      <c r="AP10" s="516"/>
      <c r="AQ10" s="1171">
        <v>0</v>
      </c>
    </row>
    <row customHeight="1" ht="14.25"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383"/>
      <c r="X11" s="383"/>
      <c r="Y11" s="383"/>
      <c r="Z11" s="383"/>
      <c r="AA11" s="383"/>
      <c r="AB11" s="382"/>
      <c r="AC11" s="383"/>
      <c r="AD11" s="383"/>
      <c r="AE11" s="383"/>
      <c r="AF11" s="383"/>
      <c r="AG11" s="383"/>
      <c r="AH11" s="383"/>
      <c r="AI11" s="382"/>
      <c r="AJ11" s="383"/>
      <c r="AK11" s="319"/>
      <c r="AM11" s="516"/>
      <c r="AN11" s="516" t="str">
        <f>IF(T11="","",T11)</f>
        <v>Добавить наименование признака дифференциации</v>
      </c>
      <c r="AO11" s="516"/>
      <c r="AP11" s="516"/>
      <c r="AQ11" s="1171">
        <v>0</v>
      </c>
    </row>
    <row s="1658" customFormat="1" customHeight="1" ht="14.25" hidden="1">
      <c r="A12" s="1359"/>
      <c r="B12" s="1359"/>
      <c r="C12" s="1330"/>
      <c r="D12" s="1330"/>
      <c r="E12" s="2275"/>
      <c r="F12" s="2274"/>
      <c r="G12" s="1330"/>
      <c r="H12" s="1330"/>
      <c r="I12" s="1330"/>
      <c r="J12" s="1330"/>
      <c r="K12" s="1330"/>
      <c r="L12" s="1442"/>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M12" s="805"/>
      <c r="AN12" s="805" t="str">
        <f>IF(T12="","",T12)</f>
        <v>Добавить централизованную систему для дифференциации</v>
      </c>
      <c r="AO12" s="805"/>
      <c r="AP12" s="805"/>
      <c r="AQ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M13" s="516"/>
      <c r="AN13" s="516" t="str">
        <f>IF(T13="","",T13)</f>
        <v>Добавить территорию для дифференциации</v>
      </c>
      <c r="AO13" s="516"/>
      <c r="AP13" s="516"/>
      <c r="AQ13" s="527">
        <v>0</v>
      </c>
    </row>
    <row customHeight="1" ht="14.25" hidden="1">
      <c r="AB14" s="343"/>
      <c r="AI14" s="343"/>
      <c r="AQ14" s="1171">
        <v>0</v>
      </c>
    </row>
    <row customHeight="1" ht="14.25" hidden="1">
      <c r="AC15" s="1376"/>
      <c r="AD15" s="1376"/>
      <c r="AE15" s="1377"/>
      <c r="AF15" s="2283"/>
      <c r="AG15" s="2284" t="s">
        <v>64</v>
      </c>
      <c r="AH15" s="2283"/>
      <c r="AI15" s="2284" t="s">
        <v>64</v>
      </c>
      <c r="AQ15" s="1171">
        <v>0</v>
      </c>
    </row>
    <row customHeight="1" ht="14.25" hidden="1">
      <c r="AC16" s="1376"/>
      <c r="AD16" s="1376"/>
      <c r="AE16" s="344" t="str">
        <f>AF15&amp;"-"&amp;AH15</f>
        <v>-</v>
      </c>
      <c r="AF16" s="2284"/>
      <c r="AG16" s="2284"/>
      <c r="AH16" s="2284"/>
      <c r="AI16" s="2284"/>
      <c r="AQ16" s="1171">
        <v>0</v>
      </c>
    </row>
    <row customHeight="1" ht="14.25" hidden="1">
      <c r="AI17" s="343"/>
      <c r="AQ17" s="1171">
        <v>0</v>
      </c>
    </row>
    <row s="1382" customFormat="1" customHeight="1" ht="22.5" hidden="1">
      <c r="L18" s="1437"/>
      <c r="M18" s="1378"/>
      <c r="N18" s="1378"/>
      <c r="O18" s="1383" t="s">
        <v>567</v>
      </c>
      <c r="P18" s="1378"/>
      <c r="Q18" s="1387"/>
      <c r="R18" s="1387"/>
      <c r="S18" s="745"/>
      <c r="Y18" s="1383"/>
      <c r="AA18" s="1383"/>
      <c r="AB18" s="1382"/>
      <c r="AF18" s="1383"/>
      <c r="AH18" s="1383"/>
      <c r="AI18" s="1382"/>
      <c r="AL18" s="527"/>
      <c r="AM18" s="527"/>
      <c r="AN18" s="527"/>
      <c r="AO18" s="527"/>
      <c r="AP18" s="527"/>
      <c r="AQ18" s="1176">
        <v>0</v>
      </c>
    </row>
    <row s="1382" customFormat="1" customHeight="1" ht="14.25" hidden="1">
      <c r="L19" s="1437"/>
      <c r="M19" s="1378"/>
      <c r="N19" s="1378"/>
      <c r="O19" s="1378"/>
      <c r="P19" s="1378"/>
      <c r="Q19" s="1387"/>
      <c r="R19" s="1387"/>
      <c r="S19" s="745"/>
      <c r="AB19" s="1382"/>
      <c r="AI19" s="1382"/>
      <c r="AL19" s="527"/>
      <c r="AM19" s="527"/>
      <c r="AN19" s="527"/>
      <c r="AO19" s="527"/>
      <c r="AP19" s="527"/>
      <c r="AQ19" s="1176">
        <v>0</v>
      </c>
    </row>
    <row s="1382" customFormat="1" customHeight="1" ht="12" hidden="1">
      <c r="L20" s="1437"/>
      <c r="M20" s="1378"/>
      <c r="N20" s="1378"/>
      <c r="O20" s="1380" t="s">
        <v>568</v>
      </c>
      <c r="P20" s="1378"/>
      <c r="Q20" s="1458"/>
      <c r="R20" s="1458"/>
      <c r="S20" s="745"/>
      <c r="T20" s="1176" t="s">
        <v>569</v>
      </c>
      <c r="Z20" s="202" t="s">
        <v>570</v>
      </c>
      <c r="AB20" s="202" t="s">
        <v>571</v>
      </c>
      <c r="AC20" s="1176" t="s">
        <v>569</v>
      </c>
      <c r="AG20" s="202" t="s">
        <v>572</v>
      </c>
      <c r="AI20" s="202" t="s">
        <v>571</v>
      </c>
      <c r="AQ20" s="1176">
        <v>0</v>
      </c>
    </row>
    <row customHeight="1" ht="14.25" hidden="1">
      <c r="O21" s="1380"/>
      <c r="AQ21" s="1171">
        <v>0</v>
      </c>
    </row>
    <row customHeight="1" ht="14.25" hidden="1">
      <c r="O22" s="1380"/>
      <c r="AQ22" s="1171">
        <v>0</v>
      </c>
    </row>
    <row customHeight="1" ht="14.699999999999998">
      <c r="Q23" s="392"/>
      <c r="R23" s="392"/>
      <c r="S23" s="1291"/>
      <c r="T23" s="379"/>
      <c r="U23" s="379"/>
      <c r="V23" s="525"/>
      <c r="W23" s="525"/>
      <c r="X23" s="525"/>
      <c r="Y23" s="525"/>
      <c r="Z23" s="525"/>
      <c r="AA23" s="525"/>
      <c r="AB23" s="525"/>
      <c r="AC23" s="525"/>
      <c r="AD23" s="525"/>
      <c r="AE23" s="525"/>
      <c r="AF23" s="525"/>
      <c r="AG23" s="525"/>
      <c r="AH23" s="525"/>
      <c r="AI23" s="525"/>
      <c r="AQ23" s="1171">
        <v>14</v>
      </c>
    </row>
    <row customHeight="1" ht="14.699999999999998">
      <c r="Q24" s="392"/>
      <c r="R24" s="392"/>
      <c r="S24" s="226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4"/>
      <c r="U24" s="2264"/>
      <c r="V24" s="2264"/>
      <c r="W24" s="2264"/>
      <c r="X24" s="2264"/>
      <c r="Y24" s="2264"/>
      <c r="Z24" s="2264"/>
      <c r="AA24" s="2264"/>
      <c r="AB24" s="2264"/>
      <c r="AC24" s="2264"/>
      <c r="AD24" s="2264"/>
      <c r="AE24" s="2264"/>
      <c r="AF24" s="2264"/>
      <c r="AG24" s="2264"/>
      <c r="AH24" s="2264"/>
      <c r="AI24" s="1259"/>
      <c r="AQ24" s="1171">
        <v>14</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525"/>
      <c r="AQ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342"/>
      <c r="AC27" s="2267" t="str">
        <f>IF(TITLE_NAME_OR_PR_CHANGE="",IF(TITLE_NAME_OR_PR="","",TITLE_NAME_OR_PR),TITLE_NAME_OR_PR_CHANGE)</f>
        <v>Агентство по тарифам Приморского края</v>
      </c>
      <c r="AD27" s="2267"/>
      <c r="AE27" s="2267"/>
      <c r="AF27" s="2267"/>
      <c r="AG27" s="2267"/>
      <c r="AH27" s="2267"/>
      <c r="AI27" s="342"/>
      <c r="AJ27" s="342"/>
      <c r="AK27" s="296"/>
      <c r="AL27" s="384"/>
      <c r="AM27" s="384"/>
      <c r="AN27" s="384"/>
      <c r="AO27" s="384"/>
      <c r="AP27" s="384"/>
      <c r="AQ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342"/>
      <c r="AC28" s="2280" t="str">
        <f>IF(TITLE_DATE_PR_CHANGE="",IF(TITLE_DATE_PR="","",TITLE_DATE_PR),TITLE_DATE_PR_CHANGE)</f>
        <v>45910</v>
      </c>
      <c r="AD28" s="2280"/>
      <c r="AE28" s="2280"/>
      <c r="AF28" s="2280"/>
      <c r="AG28" s="2280"/>
      <c r="AH28" s="2280"/>
      <c r="AI28" s="342"/>
      <c r="AJ28" s="342"/>
      <c r="AK28" s="296"/>
      <c r="AL28" s="384"/>
      <c r="AM28" s="384"/>
      <c r="AN28" s="384"/>
      <c r="AO28" s="384"/>
      <c r="AP28" s="384"/>
      <c r="AQ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342"/>
      <c r="AC29" s="2267" t="str">
        <f>IF(TITLE_NUMBER_PR_CHANGE="",IF(TITLE_NUMBER_PR="","",TITLE_NUMBER_PR),TITLE_NUMBER_PR_CHANGE)</f>
        <v>37/2</v>
      </c>
      <c r="AD29" s="2267"/>
      <c r="AE29" s="2267"/>
      <c r="AF29" s="2267"/>
      <c r="AG29" s="2267"/>
      <c r="AH29" s="2267"/>
      <c r="AI29" s="342"/>
      <c r="AJ29" s="342"/>
      <c r="AK29" s="296"/>
      <c r="AL29" s="384"/>
      <c r="AM29" s="384"/>
      <c r="AN29" s="384"/>
      <c r="AO29" s="384"/>
      <c r="AP29" s="384"/>
      <c r="AQ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342"/>
      <c r="AC30" s="2267" t="str">
        <f>IF(TITLE_IST_PUB_CHANGE="",IF(TITLE_IST_PUB="","",TITLE_IST_PUB),TITLE_IST_PUB_CHANGE)</f>
        <v>http://pravo.gov.ru</v>
      </c>
      <c r="AD30" s="2267"/>
      <c r="AE30" s="2267"/>
      <c r="AF30" s="2267"/>
      <c r="AG30" s="2267"/>
      <c r="AH30" s="2267"/>
      <c r="AI30" s="342"/>
      <c r="AJ30" s="342"/>
      <c r="AK30" s="296"/>
      <c r="AL30" s="384"/>
      <c r="AM30" s="384"/>
      <c r="AN30" s="384"/>
      <c r="AO30" s="384"/>
      <c r="AP30" s="384"/>
      <c r="AQ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525"/>
      <c r="AQ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342"/>
      <c r="AC32" s="2280" t="str">
        <f>IF(TITLE_DATE_PR_CHANGE="",IF(TITLE_DATE_PR="","",TITLE_DATE_PR),TITLE_DATE_PR_CHANGE)</f>
        <v>45910</v>
      </c>
      <c r="AD32" s="2280"/>
      <c r="AE32" s="2280"/>
      <c r="AF32" s="2280"/>
      <c r="AG32" s="2280"/>
      <c r="AH32" s="2280"/>
      <c r="AI32" s="342"/>
      <c r="AJ32" s="342"/>
      <c r="AK32" s="296"/>
      <c r="AL32" s="384"/>
      <c r="AM32" s="384"/>
      <c r="AN32" s="384"/>
      <c r="AO32" s="384"/>
      <c r="AP32" s="384"/>
      <c r="AQ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342"/>
      <c r="AC33" s="2267" t="str">
        <f>IF(TITLE_NUMBER_PR_CHANGE="",IF(TITLE_NUMBER_PR="","",TITLE_NUMBER_PR),TITLE_NUMBER_PR_CHANGE)</f>
        <v>37/2</v>
      </c>
      <c r="AD33" s="2267"/>
      <c r="AE33" s="2267"/>
      <c r="AF33" s="2267"/>
      <c r="AG33" s="2267"/>
      <c r="AH33" s="2267"/>
      <c r="AI33" s="342"/>
      <c r="AJ33" s="342"/>
      <c r="AK33" s="296"/>
      <c r="AL33" s="384"/>
      <c r="AM33" s="384"/>
      <c r="AN33" s="384"/>
      <c r="AO33" s="384"/>
      <c r="AP33" s="384"/>
      <c r="AQ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371"/>
      <c r="V34" s="342"/>
      <c r="W34" s="342"/>
      <c r="X34" s="342"/>
      <c r="Y34" s="342"/>
      <c r="Z34" s="342"/>
      <c r="AA34" s="342"/>
      <c r="AB34" s="294" t="s">
        <v>577</v>
      </c>
      <c r="AC34" s="342"/>
      <c r="AD34" s="342"/>
      <c r="AE34" s="342"/>
      <c r="AF34" s="342"/>
      <c r="AG34" s="342"/>
      <c r="AH34" s="342"/>
      <c r="AI34" s="294" t="s">
        <v>577</v>
      </c>
      <c r="AL34" s="384"/>
      <c r="AM34" s="384"/>
      <c r="AN34" s="384"/>
      <c r="AO34" s="384"/>
      <c r="AP34" s="384"/>
      <c r="AQ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Q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t="s">
        <v>454</v>
      </c>
      <c r="AQ36" s="1171">
        <v>14</v>
      </c>
    </row>
    <row customHeight="1" ht="14.699999999999998">
      <c r="Q37" s="392"/>
      <c r="R37" s="392"/>
      <c r="S37" s="2289" t="s">
        <v>91</v>
      </c>
      <c r="T37" s="2225" t="s">
        <v>578</v>
      </c>
      <c r="U37" s="317"/>
      <c r="V37" s="2290" t="s">
        <v>579</v>
      </c>
      <c r="W37" s="2291"/>
      <c r="X37" s="2291"/>
      <c r="Y37" s="2291"/>
      <c r="Z37" s="2291"/>
      <c r="AA37" s="2292"/>
      <c r="AB37" s="2293" t="s">
        <v>580</v>
      </c>
      <c r="AC37" s="2290" t="s">
        <v>579</v>
      </c>
      <c r="AD37" s="2291"/>
      <c r="AE37" s="2291"/>
      <c r="AF37" s="2291"/>
      <c r="AG37" s="2291"/>
      <c r="AH37" s="2292"/>
      <c r="AI37" s="2293" t="s">
        <v>581</v>
      </c>
      <c r="AJ37" s="2296" t="s">
        <v>582</v>
      </c>
      <c r="AK37" s="2143"/>
      <c r="AQ37" s="1171">
        <v>14</v>
      </c>
    </row>
    <row customHeight="1" ht="35.699999999999996">
      <c r="Q38" s="392"/>
      <c r="R38" s="392"/>
      <c r="S38" s="2289"/>
      <c r="T38" s="2225"/>
      <c r="U38" s="1047"/>
      <c r="V38" s="1368" t="s">
        <v>642</v>
      </c>
      <c r="W38" s="2278" t="s">
        <v>585</v>
      </c>
      <c r="X38" s="2279"/>
      <c r="Y38" s="2278" t="s">
        <v>586</v>
      </c>
      <c r="Z38" s="2285"/>
      <c r="AA38" s="2279"/>
      <c r="AB38" s="2294"/>
      <c r="AC38" s="1368" t="s">
        <v>642</v>
      </c>
      <c r="AD38" s="2278" t="s">
        <v>585</v>
      </c>
      <c r="AE38" s="2279"/>
      <c r="AF38" s="2278" t="s">
        <v>586</v>
      </c>
      <c r="AG38" s="2285"/>
      <c r="AH38" s="2279"/>
      <c r="AI38" s="2294"/>
      <c r="AJ38" s="2297"/>
      <c r="AK38" s="2143"/>
      <c r="AQ38" s="1171">
        <v>34</v>
      </c>
    </row>
    <row customHeight="1" ht="35.699999999999996">
      <c r="A39" s="1386"/>
      <c r="B39" s="1386" t="s">
        <v>204</v>
      </c>
      <c r="C39" s="1386" t="s">
        <v>205</v>
      </c>
      <c r="D39" s="1386" t="s">
        <v>206</v>
      </c>
      <c r="E39" s="1380" t="s">
        <v>587</v>
      </c>
      <c r="F39" s="1380" t="s">
        <v>588</v>
      </c>
      <c r="G39" s="1380" t="s">
        <v>589</v>
      </c>
      <c r="H39" s="1380"/>
      <c r="I39" s="1380" t="s">
        <v>643</v>
      </c>
      <c r="J39" s="1380" t="s">
        <v>592</v>
      </c>
      <c r="K39" s="1380" t="s">
        <v>644</v>
      </c>
      <c r="L39" s="1380" t="s">
        <v>568</v>
      </c>
      <c r="Q39" s="392"/>
      <c r="R39" s="392"/>
      <c r="S39" s="2289"/>
      <c r="T39" s="2225"/>
      <c r="U39" s="318"/>
      <c r="V39" s="1368" t="s">
        <v>645</v>
      </c>
      <c r="W39" s="1238" t="s">
        <v>646</v>
      </c>
      <c r="X39" s="1238" t="s">
        <v>647</v>
      </c>
      <c r="Y39" s="1373" t="s">
        <v>596</v>
      </c>
      <c r="Z39" s="2286" t="s">
        <v>597</v>
      </c>
      <c r="AA39" s="2287"/>
      <c r="AB39" s="2295"/>
      <c r="AC39" s="1368" t="s">
        <v>645</v>
      </c>
      <c r="AD39" s="1238" t="s">
        <v>646</v>
      </c>
      <c r="AE39" s="1238" t="s">
        <v>647</v>
      </c>
      <c r="AF39" s="1373" t="s">
        <v>596</v>
      </c>
      <c r="AG39" s="2286" t="s">
        <v>597</v>
      </c>
      <c r="AH39" s="2287"/>
      <c r="AI39" s="2295"/>
      <c r="AJ39" s="2298"/>
      <c r="AK39" s="2143"/>
      <c r="AQ39" s="1171">
        <v>34</v>
      </c>
    </row>
    <row s="1657" customFormat="1" customHeight="1" ht="11.25" hidden="1">
      <c r="A40" s="1386"/>
      <c r="B40" s="1386"/>
      <c r="C40" s="1386"/>
      <c r="D40" s="1386"/>
      <c r="E40" s="1386"/>
      <c r="F40" s="1386"/>
      <c r="G40" s="1386"/>
      <c r="H40" s="1386"/>
      <c r="I40" s="1386"/>
      <c r="J40" s="1386"/>
      <c r="K40" s="1386"/>
      <c r="L40" s="1380"/>
      <c r="M40" s="1378"/>
      <c r="N40" s="1378"/>
      <c r="O40" s="1378"/>
      <c r="P40" s="1262"/>
      <c r="Q40" s="1263"/>
      <c r="R40" s="1270">
        <v>1</v>
      </c>
      <c r="S40" s="1293" t="s">
        <v>141</v>
      </c>
      <c r="T40" s="1271" t="s">
        <v>107</v>
      </c>
      <c r="U40" s="1261" t="str">
        <f>OFFSET(U40,0,-1)</f>
        <v>2</v>
      </c>
      <c r="V40" s="1369">
        <f>OFFSET(V40,0,-1)+1</f>
        <v>3</v>
      </c>
      <c r="W40" s="1369">
        <f>OFFSET(W40,0,-1)+1</f>
        <v>4</v>
      </c>
      <c r="X40" s="1369">
        <f>OFFSET(X40,0,-1)+1</f>
        <v>5</v>
      </c>
      <c r="Y40" s="1369">
        <f>OFFSET(Y40,0,-1)+1</f>
        <v>6</v>
      </c>
      <c r="Z40" s="2288">
        <f>OFFSET(Z40,0,-1)+1</f>
        <v>7</v>
      </c>
      <c r="AA40" s="2288"/>
      <c r="AB40" s="1369">
        <f>OFFSET(AB40,0,-2)+1</f>
        <v>8</v>
      </c>
      <c r="AC40" s="1369">
        <f>OFFSET(AC40,0,-1)+1</f>
        <v>9</v>
      </c>
      <c r="AD40" s="1369">
        <f>OFFSET(AD40,0,-1)+1</f>
        <v>10</v>
      </c>
      <c r="AE40" s="1369">
        <f>OFFSET(AE40,0,-1)+1</f>
        <v>11</v>
      </c>
      <c r="AF40" s="1369">
        <f>OFFSET(AF40,0,-1)+1</f>
        <v>12</v>
      </c>
      <c r="AG40" s="2288">
        <f>OFFSET(AG40,0,-1)+1</f>
        <v>13</v>
      </c>
      <c r="AH40" s="2288"/>
      <c r="AI40" s="1369">
        <f>OFFSET(AI40,0,-2)+1</f>
        <v>14</v>
      </c>
      <c r="AJ40" s="1261">
        <f>OFFSET(AJ40,0,-1)</f>
        <v>14</v>
      </c>
      <c r="AK40" s="1369">
        <f>OFFSET(AK40,0,-1)+1</f>
        <v>15</v>
      </c>
      <c r="AL40" s="527"/>
      <c r="AM40" s="527"/>
      <c r="AN40" s="527"/>
      <c r="AO40" s="527"/>
      <c r="AP40" s="527"/>
      <c r="AQ40" s="512">
        <v>0</v>
      </c>
    </row>
    <row customHeight="1" ht="24">
      <c r="A41" s="1379" t="s">
        <v>379</v>
      </c>
      <c r="B41" s="1379"/>
      <c r="C41" s="1379"/>
      <c r="D41" s="1379"/>
      <c r="E41" s="2274">
        <v>1</v>
      </c>
      <c r="F41" s="1379"/>
      <c r="G41" s="1379"/>
      <c r="H41" s="1379"/>
      <c r="I41" s="1379"/>
      <c r="J41" s="1379"/>
      <c r="K41" s="1379"/>
      <c r="L41" s="1380"/>
      <c r="M41" s="1381"/>
      <c r="N41" s="1381"/>
      <c r="O41" s="1381"/>
      <c r="P41" s="377"/>
      <c r="Q41" s="376"/>
      <c r="R41" s="371"/>
      <c r="S41" s="1374">
        <f>INDEX(PT_DIFFERENTIATION_NUM_NTAR,MATCH(A41,PT_DIFFERENTIATION_NTAR_ID,0))</f>
        <v>0</v>
      </c>
      <c r="T41" s="314" t="s">
        <v>192</v>
      </c>
      <c r="U41" s="316"/>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6"/>
      <c r="AN41" s="516" t="str">
        <f>IF(T41="","",T41)</f>
        <v>Наименование тарифа</v>
      </c>
      <c r="AO41" s="516"/>
      <c r="AP41" s="516"/>
      <c r="AQ41" s="1171">
        <v>23</v>
      </c>
    </row>
    <row customHeight="1" ht="24">
      <c r="A42" s="1379" t="s">
        <v>379</v>
      </c>
      <c r="B42" s="1379" t="s">
        <v>380</v>
      </c>
      <c r="C42" s="1379"/>
      <c r="D42" s="1379"/>
      <c r="E42" s="2275"/>
      <c r="F42" s="2274">
        <v>1</v>
      </c>
      <c r="G42" s="1379"/>
      <c r="H42" s="1379"/>
      <c r="I42" s="1379"/>
      <c r="J42" s="1379"/>
      <c r="K42" s="1379"/>
      <c r="L42" s="1380"/>
      <c r="M42" s="1381"/>
      <c r="N42" s="1381"/>
      <c r="O42" s="1381"/>
      <c r="P42" s="1372"/>
      <c r="Q42" s="368"/>
      <c r="R42" s="369"/>
      <c r="S42" s="1374" t="str">
        <f>INDEX(PT_DIFFERENTIATION_NUM_TER,MATCH(B42,PT_DIFFERENTIATION_TER_ID,0))</f>
        <v>.</v>
      </c>
      <c r="T42" s="324" t="s">
        <v>550</v>
      </c>
      <c r="U42" s="316"/>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74" t="s">
        <v>551</v>
      </c>
      <c r="AM42" s="516"/>
      <c r="AN42" s="516" t="str">
        <f>IF(T42="","",T42)</f>
        <v>Территория действия тарифа</v>
      </c>
      <c r="AO42" s="516"/>
      <c r="AP42" s="516"/>
      <c r="AQ42" s="1171">
        <v>23</v>
      </c>
    </row>
    <row customHeight="1" ht="24">
      <c r="A43" s="1379" t="s">
        <v>379</v>
      </c>
      <c r="B43" s="1379" t="s">
        <v>380</v>
      </c>
      <c r="C43" s="1379" t="s">
        <v>381</v>
      </c>
      <c r="D43" s="1379"/>
      <c r="E43" s="2275"/>
      <c r="F43" s="2275"/>
      <c r="G43" s="2274">
        <v>1</v>
      </c>
      <c r="H43" s="1379"/>
      <c r="I43" s="1379"/>
      <c r="J43" s="1379"/>
      <c r="K43" s="1379"/>
      <c r="L43" s="1380"/>
      <c r="M43" s="1381"/>
      <c r="N43" s="1381"/>
      <c r="O43" s="1381"/>
      <c r="P43" s="370"/>
      <c r="Q43" s="368"/>
      <c r="R43" s="369"/>
      <c r="S43" s="1374" t="str">
        <f>INDEX(PT_DIFFERENTIATION_NUM_CS,MATCH(C43,PT_DIFFERENTIATION_CS_ID,0))</f>
        <v>..</v>
      </c>
      <c r="T43" s="325" t="s">
        <v>634</v>
      </c>
      <c r="U43" s="316"/>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74" t="s">
        <v>635</v>
      </c>
      <c r="AM43" s="516"/>
      <c r="AN43" s="516" t="str">
        <f>IF(T43="","",T43)</f>
        <v>Наименование централизованной системы холодного водоснабжения</v>
      </c>
      <c r="AO43" s="516"/>
      <c r="AP43" s="516"/>
      <c r="AQ43" s="1171">
        <v>23</v>
      </c>
    </row>
    <row customHeight="1" ht="24">
      <c r="A44" s="1379" t="s">
        <v>379</v>
      </c>
      <c r="B44" s="1379" t="s">
        <v>380</v>
      </c>
      <c r="C44" s="1379" t="s">
        <v>381</v>
      </c>
      <c r="D44" s="1379" t="s">
        <v>648</v>
      </c>
      <c r="E44" s="2275"/>
      <c r="F44" s="2275"/>
      <c r="G44" s="2275"/>
      <c r="H44" s="2275"/>
      <c r="I44" s="2272" t="str">
        <f>S43&amp;".1"</f>
        <v>...1</v>
      </c>
      <c r="J44" s="1379"/>
      <c r="K44" s="1379"/>
      <c r="L44" s="1380"/>
      <c r="P44" s="2273">
        <v>1</v>
      </c>
      <c r="Q44" s="1370"/>
      <c r="R44" s="372"/>
      <c r="S44" s="1374" t="str">
        <f>$I44</f>
        <v>...1</v>
      </c>
      <c r="T44" s="301" t="s">
        <v>636</v>
      </c>
      <c r="U44" s="316"/>
      <c r="V44" s="2366"/>
      <c r="W44" s="2367"/>
      <c r="X44" s="2367"/>
      <c r="Y44" s="2367"/>
      <c r="Z44" s="2367"/>
      <c r="AA44" s="2367"/>
      <c r="AB44" s="2368"/>
      <c r="AC44" s="2369"/>
      <c r="AD44" s="2370"/>
      <c r="AE44" s="2370"/>
      <c r="AF44" s="2370"/>
      <c r="AG44" s="2370"/>
      <c r="AH44" s="2370"/>
      <c r="AI44" s="2370"/>
      <c r="AJ44" s="2371"/>
      <c r="AK44" s="1274" t="s">
        <v>637</v>
      </c>
      <c r="AM44" s="516"/>
      <c r="AN44" s="516" t="str">
        <f>IF(T44="","",T44)</f>
        <v>Наименование признака дифференциации</v>
      </c>
      <c r="AO44" s="516"/>
      <c r="AP44" s="516"/>
      <c r="AQ44" s="1171">
        <v>23</v>
      </c>
    </row>
    <row customHeight="1" ht="24">
      <c r="A45" s="1379" t="s">
        <v>379</v>
      </c>
      <c r="B45" s="1379" t="s">
        <v>380</v>
      </c>
      <c r="C45" s="1379" t="s">
        <v>381</v>
      </c>
      <c r="D45" s="1379" t="s">
        <v>648</v>
      </c>
      <c r="E45" s="2275"/>
      <c r="F45" s="2275"/>
      <c r="G45" s="2275"/>
      <c r="H45" s="2275"/>
      <c r="I45" s="2302"/>
      <c r="J45" s="2272" t="str">
        <f>I44&amp;".1"</f>
        <v>...1.1</v>
      </c>
      <c r="K45" s="1379"/>
      <c r="L45" s="1380" t="s">
        <v>559</v>
      </c>
      <c r="P45" s="2273"/>
      <c r="Q45" s="2273">
        <v>1</v>
      </c>
      <c r="R45" s="373"/>
      <c r="S45" s="1374" t="str">
        <f>$J45</f>
        <v>...1.1</v>
      </c>
      <c r="T45" s="302" t="s">
        <v>560</v>
      </c>
      <c r="U45" s="316"/>
      <c r="V45" s="2261"/>
      <c r="W45" s="2262"/>
      <c r="X45" s="2262"/>
      <c r="Y45" s="2262"/>
      <c r="Z45" s="2262"/>
      <c r="AA45" s="2262"/>
      <c r="AB45" s="2263"/>
      <c r="AC45" s="2261"/>
      <c r="AD45" s="2262"/>
      <c r="AE45" s="2262"/>
      <c r="AF45" s="2262"/>
      <c r="AG45" s="2262"/>
      <c r="AH45" s="2262"/>
      <c r="AI45" s="2262"/>
      <c r="AJ45" s="2263"/>
      <c r="AK45" s="1323" t="s">
        <v>638</v>
      </c>
      <c r="AM45" s="516"/>
      <c r="AN45" s="516" t="str">
        <f>IF(T45="","",T45)</f>
        <v>Группа потребителей</v>
      </c>
      <c r="AO45" s="516"/>
      <c r="AP45" s="516"/>
      <c r="AQ45" s="1171">
        <v>23</v>
      </c>
    </row>
    <row customHeight="1" ht="24">
      <c r="A46" s="1379" t="s">
        <v>379</v>
      </c>
      <c r="B46" s="1379" t="s">
        <v>380</v>
      </c>
      <c r="C46" s="1379" t="s">
        <v>381</v>
      </c>
      <c r="D46" s="1379" t="s">
        <v>648</v>
      </c>
      <c r="E46" s="2275"/>
      <c r="F46" s="2275"/>
      <c r="G46" s="2275"/>
      <c r="H46" s="2275"/>
      <c r="I46" s="2302"/>
      <c r="J46" s="2302"/>
      <c r="K46" s="2272" t="str">
        <f>J45&amp;".1"</f>
        <v>...1.1.1</v>
      </c>
      <c r="L46" s="1380"/>
      <c r="P46" s="2273"/>
      <c r="Q46" s="2273"/>
      <c r="R46" s="373">
        <v>1</v>
      </c>
      <c r="S46" s="1374" t="str">
        <f>$K46</f>
        <v>...1.1.1</v>
      </c>
      <c r="T46" s="1453"/>
      <c r="U46" s="316"/>
      <c r="V46" s="1376"/>
      <c r="W46" s="1376"/>
      <c r="X46" s="1377"/>
      <c r="Y46" s="2283"/>
      <c r="Z46" s="2284" t="s">
        <v>64</v>
      </c>
      <c r="AA46" s="2283"/>
      <c r="AB46" s="2284" t="s">
        <v>64</v>
      </c>
      <c r="AC46" s="767"/>
      <c r="AD46" s="767"/>
      <c r="AE46" s="1273"/>
      <c r="AF46" s="2281"/>
      <c r="AG46" s="2123" t="s">
        <v>64</v>
      </c>
      <c r="AH46" s="2303"/>
      <c r="AI46" s="2123" t="s">
        <v>19</v>
      </c>
      <c r="AJ46" s="1454"/>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7">
        <f>STRCHECKDATE(V47:AJ47)</f>
      </c>
      <c r="AM46" s="516"/>
      <c r="AN46" s="516" t="str">
        <f>IF(T46="","",T46)</f>
        <v/>
      </c>
      <c r="AO46" s="516"/>
      <c r="AP46" s="516"/>
      <c r="AQ46" s="1171">
        <v>23</v>
      </c>
    </row>
    <row customHeight="1" ht="0">
      <c r="A47" s="1379" t="s">
        <v>379</v>
      </c>
      <c r="B47" s="1379" t="s">
        <v>380</v>
      </c>
      <c r="C47" s="1379" t="s">
        <v>381</v>
      </c>
      <c r="D47" s="1379" t="s">
        <v>648</v>
      </c>
      <c r="E47" s="2275"/>
      <c r="F47" s="2275"/>
      <c r="G47" s="2275"/>
      <c r="H47" s="2275"/>
      <c r="I47" s="2302"/>
      <c r="J47" s="2302"/>
      <c r="K47" s="2272"/>
      <c r="L47" s="1380"/>
      <c r="P47" s="2273"/>
      <c r="Q47" s="2273"/>
      <c r="R47" s="373"/>
      <c r="S47" s="1375"/>
      <c r="T47" s="316"/>
      <c r="U47" s="316"/>
      <c r="V47" s="1376"/>
      <c r="W47" s="1376"/>
      <c r="X47" s="344" t="str">
        <f>Y46&amp;"-"&amp;AA46</f>
        <v>-</v>
      </c>
      <c r="Y47" s="2284"/>
      <c r="Z47" s="2284"/>
      <c r="AA47" s="2284"/>
      <c r="AB47" s="2284"/>
      <c r="AC47" s="341"/>
      <c r="AD47" s="341"/>
      <c r="AE47" s="344" t="str">
        <f>AF46&amp;"-"&amp;AH46</f>
        <v>-</v>
      </c>
      <c r="AF47" s="2282"/>
      <c r="AG47" s="2123"/>
      <c r="AH47" s="2304"/>
      <c r="AI47" s="2123"/>
      <c r="AJ47" s="1455"/>
      <c r="AK47" s="2365"/>
      <c r="AM47" s="516"/>
      <c r="AN47" s="516" t="str">
        <f>IF(T47="","",T47)</f>
        <v/>
      </c>
      <c r="AO47" s="516"/>
      <c r="AP47" s="516"/>
      <c r="AQ47" s="1171">
        <v>0</v>
      </c>
    </row>
    <row customHeight="1" ht="21">
      <c r="A48" s="1379" t="s">
        <v>379</v>
      </c>
      <c r="B48" s="1379" t="s">
        <v>380</v>
      </c>
      <c r="C48" s="1379" t="s">
        <v>381</v>
      </c>
      <c r="D48" s="1379" t="s">
        <v>648</v>
      </c>
      <c r="E48" s="2275"/>
      <c r="F48" s="2275"/>
      <c r="G48" s="2275"/>
      <c r="H48" s="2275"/>
      <c r="I48" s="2302"/>
      <c r="J48" s="2272"/>
      <c r="K48" s="1379"/>
      <c r="L48" s="1380"/>
      <c r="P48" s="2273"/>
      <c r="Q48" s="2273"/>
      <c r="R48" s="372"/>
      <c r="S48" s="1294"/>
      <c r="T48" s="303" t="s">
        <v>639</v>
      </c>
      <c r="U48" s="383"/>
      <c r="V48" s="383"/>
      <c r="W48" s="383"/>
      <c r="X48" s="383"/>
      <c r="Y48" s="383"/>
      <c r="Z48" s="383"/>
      <c r="AA48" s="383"/>
      <c r="AB48" s="383"/>
      <c r="AC48" s="383"/>
      <c r="AD48" s="383"/>
      <c r="AE48" s="383"/>
      <c r="AF48" s="383"/>
      <c r="AG48" s="383"/>
      <c r="AH48" s="383"/>
      <c r="AI48" s="383"/>
      <c r="AJ48" s="383"/>
      <c r="AK48" s="1274" t="s">
        <v>640</v>
      </c>
      <c r="AM48" s="516"/>
      <c r="AN48" s="516" t="str">
        <f>IF(T48="","",T48)</f>
        <v>Добавить значение признака дифференциации</v>
      </c>
      <c r="AO48" s="516"/>
      <c r="AP48" s="516"/>
      <c r="AQ48" s="1171">
        <v>20</v>
      </c>
    </row>
    <row customHeight="1" ht="22.049999999999997">
      <c r="A49" s="1379" t="s">
        <v>379</v>
      </c>
      <c r="B49" s="1379" t="s">
        <v>380</v>
      </c>
      <c r="C49" s="1379" t="s">
        <v>381</v>
      </c>
      <c r="D49" s="1379" t="s">
        <v>648</v>
      </c>
      <c r="E49" s="2275"/>
      <c r="F49" s="2275"/>
      <c r="G49" s="2275"/>
      <c r="H49" s="2275"/>
      <c r="I49" s="2272"/>
      <c r="J49" s="1379"/>
      <c r="K49" s="1379"/>
      <c r="L49" s="1380"/>
      <c r="P49" s="2273"/>
      <c r="Q49" s="1370"/>
      <c r="R49" s="372"/>
      <c r="S49" s="1294"/>
      <c r="T49" s="381" t="s">
        <v>565</v>
      </c>
      <c r="U49" s="383"/>
      <c r="V49" s="383"/>
      <c r="W49" s="383"/>
      <c r="X49" s="383"/>
      <c r="Y49" s="383"/>
      <c r="Z49" s="383"/>
      <c r="AA49" s="383"/>
      <c r="AB49" s="382"/>
      <c r="AC49" s="383"/>
      <c r="AD49" s="383"/>
      <c r="AE49" s="383"/>
      <c r="AF49" s="383"/>
      <c r="AG49" s="383"/>
      <c r="AH49" s="383"/>
      <c r="AI49" s="382"/>
      <c r="AJ49" s="383"/>
      <c r="AK49" s="1456"/>
      <c r="AM49" s="516"/>
      <c r="AN49" s="516" t="str">
        <f>IF(T49="","",T49)</f>
        <v>Добавить группу потребителей</v>
      </c>
      <c r="AO49" s="516"/>
      <c r="AP49" s="516"/>
      <c r="AQ49" s="1171">
        <v>21</v>
      </c>
    </row>
    <row customHeight="1" ht="22.049999999999997">
      <c r="A50" s="1379" t="s">
        <v>379</v>
      </c>
      <c r="B50" s="1379" t="s">
        <v>380</v>
      </c>
      <c r="C50" s="1379" t="s">
        <v>381</v>
      </c>
      <c r="D50" s="1379" t="s">
        <v>648</v>
      </c>
      <c r="E50" s="2275"/>
      <c r="F50" s="2275"/>
      <c r="G50" s="2275"/>
      <c r="H50" s="2274"/>
      <c r="I50" s="1379"/>
      <c r="J50" s="1379"/>
      <c r="K50" s="1379"/>
      <c r="L50" s="1380"/>
      <c r="M50" s="1381"/>
      <c r="N50" s="1381"/>
      <c r="O50" s="553"/>
      <c r="P50" s="376"/>
      <c r="Q50" s="391"/>
      <c r="R50" s="371"/>
      <c r="S50" s="1294"/>
      <c r="T50" s="388" t="s">
        <v>641</v>
      </c>
      <c r="U50" s="383"/>
      <c r="V50" s="383"/>
      <c r="W50" s="383"/>
      <c r="X50" s="383"/>
      <c r="Y50" s="383"/>
      <c r="Z50" s="383"/>
      <c r="AA50" s="383"/>
      <c r="AB50" s="382"/>
      <c r="AC50" s="383"/>
      <c r="AD50" s="383"/>
      <c r="AE50" s="383"/>
      <c r="AF50" s="383"/>
      <c r="AG50" s="383"/>
      <c r="AH50" s="383"/>
      <c r="AI50" s="382"/>
      <c r="AJ50" s="383"/>
      <c r="AK50" s="319"/>
      <c r="AM50" s="516"/>
      <c r="AN50" s="516" t="str">
        <f>IF(T50="","",T50)</f>
        <v>Добавить наименование признака дифференциации</v>
      </c>
      <c r="AO50" s="516"/>
      <c r="AP50" s="516"/>
      <c r="AQ50" s="1171">
        <v>21</v>
      </c>
    </row>
    <row s="1658" customFormat="1" customHeight="1" ht="0">
      <c r="A51" s="1359" t="s">
        <v>379</v>
      </c>
      <c r="B51" s="1359" t="s">
        <v>380</v>
      </c>
      <c r="C51" s="1330"/>
      <c r="D51" s="1330"/>
      <c r="E51" s="2275"/>
      <c r="F51" s="2274"/>
      <c r="G51" s="1330"/>
      <c r="H51" s="1330"/>
      <c r="I51" s="1330"/>
      <c r="J51" s="1330"/>
      <c r="K51" s="1330"/>
      <c r="L51" s="1442"/>
      <c r="M51" s="1337"/>
      <c r="N51" s="1337"/>
      <c r="P51" s="1332"/>
      <c r="Q51" s="1333"/>
      <c r="R51" s="1332"/>
      <c r="S51" s="1338"/>
      <c r="T51" s="1341" t="s">
        <v>269</v>
      </c>
      <c r="U51" s="1340"/>
      <c r="V51" s="1340"/>
      <c r="W51" s="1340"/>
      <c r="X51" s="1340"/>
      <c r="Y51" s="1340"/>
      <c r="Z51" s="1340"/>
      <c r="AA51" s="1340"/>
      <c r="AB51" s="1340"/>
      <c r="AC51" s="1340"/>
      <c r="AD51" s="1340"/>
      <c r="AE51" s="1340"/>
      <c r="AF51" s="1340"/>
      <c r="AG51" s="1340"/>
      <c r="AH51" s="1340"/>
      <c r="AI51" s="1340"/>
      <c r="AJ51" s="1340"/>
      <c r="AK51" s="1340"/>
      <c r="AM51" s="805"/>
      <c r="AN51" s="805" t="str">
        <f>IF(T51="","",T51)</f>
        <v>Добавить централизованную систему для дифференциации</v>
      </c>
      <c r="AO51" s="805"/>
      <c r="AP51" s="805"/>
      <c r="AQ51" s="534">
        <v>0</v>
      </c>
    </row>
    <row s="1658" customFormat="1" customHeight="1" ht="0">
      <c r="A52" s="1359" t="s">
        <v>379</v>
      </c>
      <c r="B52" s="1359"/>
      <c r="C52" s="1359"/>
      <c r="D52" s="1359"/>
      <c r="E52" s="2274"/>
      <c r="F52" s="1359"/>
      <c r="G52" s="1359"/>
      <c r="H52" s="1359"/>
      <c r="I52" s="1359"/>
      <c r="J52" s="1359"/>
      <c r="K52" s="1359"/>
      <c r="L52" s="1362"/>
      <c r="M52" s="1337"/>
      <c r="N52" s="1337"/>
      <c r="O52" s="534"/>
      <c r="P52" s="396"/>
      <c r="Q52" s="1360"/>
      <c r="R52" s="396"/>
      <c r="S52" s="1338"/>
      <c r="T52" s="1341" t="s">
        <v>330</v>
      </c>
      <c r="U52" s="1340"/>
      <c r="V52" s="1340"/>
      <c r="W52" s="1340"/>
      <c r="X52" s="1340"/>
      <c r="Y52" s="1340"/>
      <c r="Z52" s="1340"/>
      <c r="AA52" s="1340"/>
      <c r="AB52" s="1340"/>
      <c r="AC52" s="1340"/>
      <c r="AD52" s="1340"/>
      <c r="AE52" s="1340"/>
      <c r="AF52" s="1340"/>
      <c r="AG52" s="1340"/>
      <c r="AH52" s="1340"/>
      <c r="AI52" s="1340"/>
      <c r="AJ52" s="1340"/>
      <c r="AK52" s="1340"/>
      <c r="AM52" s="516"/>
      <c r="AN52" s="516" t="str">
        <f>IF(T52="","",T52)</f>
        <v>Добавить территорию для дифференциации</v>
      </c>
      <c r="AO52" s="516"/>
      <c r="AP52" s="516"/>
      <c r="AQ52" s="527">
        <v>0</v>
      </c>
    </row>
    <row s="1658" customFormat="1" customHeight="1" ht="0">
      <c r="A53" s="1330"/>
      <c r="B53" s="1330"/>
      <c r="C53" s="1330"/>
      <c r="D53" s="1330"/>
      <c r="E53" s="1359"/>
      <c r="F53" s="1330"/>
      <c r="G53" s="1330"/>
      <c r="H53" s="1330"/>
      <c r="I53" s="1330"/>
      <c r="J53" s="1330"/>
      <c r="K53" s="1330"/>
      <c r="L53" s="1442"/>
      <c r="M53" s="1337"/>
      <c r="N53" s="1337"/>
      <c r="P53" s="1332"/>
      <c r="Q53" s="1333"/>
      <c r="R53" s="1332"/>
      <c r="S53" s="1338"/>
      <c r="T53" s="1341" t="s">
        <v>356</v>
      </c>
      <c r="U53" s="1340"/>
      <c r="V53" s="1340"/>
      <c r="W53" s="1340"/>
      <c r="X53" s="1340"/>
      <c r="Y53" s="1340"/>
      <c r="Z53" s="1340"/>
      <c r="AA53" s="1340"/>
      <c r="AB53" s="1340"/>
      <c r="AC53" s="1340"/>
      <c r="AD53" s="1340"/>
      <c r="AE53" s="1340"/>
      <c r="AF53" s="1340"/>
      <c r="AG53" s="1340"/>
      <c r="AH53" s="1340"/>
      <c r="AI53" s="1340"/>
      <c r="AJ53" s="1340"/>
      <c r="AK53" s="1340"/>
      <c r="AM53" s="805"/>
      <c r="AN53" s="805" t="str">
        <f>IF(T53="","",T53)</f>
        <v>Добавить наименование тарифа</v>
      </c>
      <c r="AO53" s="805"/>
      <c r="AP53" s="805"/>
      <c r="AQ53" s="534">
        <v>0</v>
      </c>
    </row>
    <row customHeight="1" ht="11.549999999999999">
      <c r="M54" s="1176"/>
      <c r="N54" s="1176"/>
      <c r="O54" s="553"/>
      <c r="P54" s="1171"/>
      <c r="Q54" s="1171"/>
      <c r="R54" s="1171"/>
      <c r="S54" s="1171"/>
      <c r="AL54" s="1171"/>
      <c r="AM54" s="1171"/>
      <c r="AN54" s="1171"/>
      <c r="AO54" s="1171"/>
      <c r="AP54" s="1171"/>
      <c r="AQ54" s="1171">
        <v>11</v>
      </c>
    </row>
    <row customHeight="1" ht="14.699999999999998">
      <c r="O55" s="553"/>
      <c r="S55" s="1269"/>
      <c r="T55" s="2301"/>
      <c r="U55" s="2301"/>
      <c r="V55" s="2301"/>
      <c r="W55" s="2301"/>
      <c r="X55" s="2301"/>
      <c r="Y55" s="2301"/>
      <c r="Z55" s="2301"/>
      <c r="AA55" s="2301"/>
      <c r="AB55" s="2301"/>
      <c r="AC55" s="2301"/>
      <c r="AD55" s="2301"/>
      <c r="AE55" s="2301"/>
      <c r="AF55" s="2301"/>
      <c r="AG55" s="2301"/>
      <c r="AH55" s="2301"/>
      <c r="AI55" s="2301"/>
      <c r="AJ55" s="2301"/>
      <c r="AK55" s="2301"/>
      <c r="AQ55" s="1171">
        <v>14</v>
      </c>
    </row>
    <row customHeight="1" ht="14.699999999999998">
      <c r="O56" s="553"/>
      <c r="AQ56" s="1171">
        <v>14</v>
      </c>
    </row>
    <row customHeight="1" ht="14.699999999999998">
      <c r="O57" s="553"/>
      <c r="S57" s="1269"/>
      <c r="T57" s="2301"/>
      <c r="U57" s="2301"/>
      <c r="V57" s="2301"/>
      <c r="W57" s="2301"/>
      <c r="X57" s="2301"/>
      <c r="Y57" s="2301"/>
      <c r="Z57" s="2301"/>
      <c r="AA57" s="2301"/>
      <c r="AB57" s="2301"/>
      <c r="AC57" s="2301"/>
      <c r="AD57" s="2301"/>
      <c r="AE57" s="2301"/>
      <c r="AF57" s="2301"/>
      <c r="AG57" s="2301"/>
      <c r="AH57" s="2301"/>
      <c r="AI57" s="2301"/>
      <c r="AJ57" s="2301"/>
      <c r="AK57" s="2301"/>
      <c r="AQ57" s="1171">
        <v>14</v>
      </c>
    </row>
    <row customHeight="1" ht="22.5" hidden="1">
      <c r="A58" s="1176" t="s">
        <v>85</v>
      </c>
      <c r="B58" s="1176">
        <v>0</v>
      </c>
      <c r="C58" s="1176">
        <v>0</v>
      </c>
      <c r="D58" s="1176">
        <v>0</v>
      </c>
      <c r="E58" s="1176">
        <v>0</v>
      </c>
      <c r="F58" s="1176">
        <v>0</v>
      </c>
      <c r="G58" s="1176">
        <v>0</v>
      </c>
      <c r="H58" s="1176">
        <v>0</v>
      </c>
      <c r="I58" s="1176">
        <v>0</v>
      </c>
      <c r="J58" s="1176">
        <v>0</v>
      </c>
      <c r="K58" s="1176">
        <v>0</v>
      </c>
      <c r="L58" s="1437">
        <v>0</v>
      </c>
      <c r="M58" s="1378">
        <v>0</v>
      </c>
      <c r="N58" s="1378">
        <v>0</v>
      </c>
      <c r="O58" s="1378">
        <v>0</v>
      </c>
      <c r="P58" s="1367">
        <v>3</v>
      </c>
      <c r="Q58" s="360">
        <v>3</v>
      </c>
      <c r="R58" s="360">
        <v>3</v>
      </c>
      <c r="S58" s="597">
        <v>12</v>
      </c>
      <c r="T58" s="1171">
        <v>35</v>
      </c>
      <c r="U58" s="1171">
        <v>0</v>
      </c>
      <c r="V58" s="1171">
        <v>0</v>
      </c>
      <c r="W58" s="1171">
        <v>0</v>
      </c>
      <c r="X58" s="1171">
        <v>0</v>
      </c>
      <c r="Y58" s="1171">
        <v>0</v>
      </c>
      <c r="Z58" s="1171">
        <v>0</v>
      </c>
      <c r="AA58" s="1171">
        <v>0</v>
      </c>
      <c r="AB58" s="1171">
        <v>0</v>
      </c>
      <c r="AC58" s="1171">
        <v>24</v>
      </c>
      <c r="AD58" s="1171">
        <v>24</v>
      </c>
      <c r="AE58" s="1171">
        <v>24</v>
      </c>
      <c r="AF58" s="1171">
        <v>11</v>
      </c>
      <c r="AG58" s="1171">
        <v>3</v>
      </c>
      <c r="AH58" s="1171">
        <v>11</v>
      </c>
      <c r="AI58" s="1171">
        <v>0</v>
      </c>
      <c r="AJ58" s="1171">
        <v>4</v>
      </c>
      <c r="AK58" s="1171">
        <v>115</v>
      </c>
      <c r="AL58" s="527">
        <v>10</v>
      </c>
      <c r="AM58" s="527">
        <v>10</v>
      </c>
      <c r="AN58" s="527">
        <v>10</v>
      </c>
      <c r="AO58" s="527">
        <v>10</v>
      </c>
      <c r="AP58" s="527">
        <v>10</v>
      </c>
      <c r="AQ58" s="117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2A7FB-AFBA-F92C-E78B-3513E84C5E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4" style="1651" width="24.7109375" hidden="1" customWidth="1"/>
    <col min="25" max="25" style="1651" width="11.7109375" hidden="1" customWidth="1"/>
    <col min="26" max="26" style="1651" width="3.7109375" hidden="1" customWidth="1"/>
    <col min="27" max="27" style="1651" width="11.7109375" hidden="1" customWidth="1"/>
    <col min="28" max="28" style="1651" width="8.57421875" hidden="1" customWidth="1"/>
    <col min="29" max="29" style="1651" width="24.7109375" customWidth="1"/>
    <col min="30" max="31" style="1651" width="24.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22.5" hidden="1">
      <c r="X1" s="343"/>
      <c r="Y1" s="343"/>
      <c r="AE1" s="343"/>
      <c r="AF1" s="343"/>
      <c r="AQ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473">
        <f>INDEX(PT_DIFFERENTIATION_NUM_NTAR,MATCH(A2,PT_DIFFERENTIATION_NTAR_ID,0))</f>
      </c>
      <c r="T2" s="314" t="s">
        <v>192</v>
      </c>
      <c r="U2" s="316"/>
      <c r="V2" s="2258"/>
      <c r="W2" s="2259"/>
      <c r="X2" s="2259"/>
      <c r="Y2" s="2259"/>
      <c r="Z2" s="2259"/>
      <c r="AA2" s="2259"/>
      <c r="AB2" s="2260"/>
      <c r="AC2" s="2258">
        <f>INDEX(PT_DIFFERENTIATION_NTAR,MATCH(A2,PT_DIFFERENTIATION_NTAR_ID,0))</f>
      </c>
      <c r="AD2" s="2259"/>
      <c r="AE2" s="2259"/>
      <c r="AF2" s="2259"/>
      <c r="AG2" s="2259"/>
      <c r="AH2" s="2259"/>
      <c r="AI2" s="2259"/>
      <c r="AJ2" s="2260"/>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6"/>
      <c r="AN2" s="516" t="str">
        <f>IF(T2="","",T2)</f>
        <v>Наименование тарифа</v>
      </c>
      <c r="AO2" s="516"/>
      <c r="AP2" s="516"/>
      <c r="AQ2" s="1171">
        <v>0</v>
      </c>
    </row>
    <row customHeight="1" ht="23.25" hidden="1">
      <c r="A3" s="1379"/>
      <c r="B3" s="1379"/>
      <c r="C3" s="1379"/>
      <c r="D3" s="1379"/>
      <c r="E3" s="2275"/>
      <c r="F3" s="2274">
        <v>1</v>
      </c>
      <c r="G3" s="1379"/>
      <c r="H3" s="1379"/>
      <c r="I3" s="1379"/>
      <c r="J3" s="1379"/>
      <c r="K3" s="1379"/>
      <c r="L3" s="1380"/>
      <c r="M3" s="1381"/>
      <c r="N3" s="1381"/>
      <c r="O3" s="1381"/>
      <c r="P3" s="1469"/>
      <c r="Q3" s="368"/>
      <c r="R3" s="369"/>
      <c r="S3" s="1473">
        <f>INDEX(PT_DIFFERENTIATION_NUM_TER,MATCH(B3,PT_DIFFERENTIATION_TER_ID,0))</f>
      </c>
      <c r="T3" s="324" t="s">
        <v>550</v>
      </c>
      <c r="U3" s="316"/>
      <c r="V3" s="2258"/>
      <c r="W3" s="2259"/>
      <c r="X3" s="2259"/>
      <c r="Y3" s="2259"/>
      <c r="Z3" s="2259"/>
      <c r="AA3" s="2259"/>
      <c r="AB3" s="2260"/>
      <c r="AC3" s="2258">
        <f>INDEX(PT_DIFFERENTIATION_TER,MATCH(B3,PT_DIFFERENTIATION_TER_ID,0))</f>
      </c>
      <c r="AD3" s="2259"/>
      <c r="AE3" s="2259"/>
      <c r="AF3" s="2259"/>
      <c r="AG3" s="2259"/>
      <c r="AH3" s="2259"/>
      <c r="AI3" s="2259"/>
      <c r="AJ3" s="2260"/>
      <c r="AK3" s="1274" t="s">
        <v>551</v>
      </c>
      <c r="AM3" s="516"/>
      <c r="AN3" s="516" t="str">
        <f>IF(T3="","",T3)</f>
        <v>Территория действия тарифа</v>
      </c>
      <c r="AO3" s="516"/>
      <c r="AP3" s="516"/>
      <c r="AQ3" s="1171">
        <v>0</v>
      </c>
    </row>
    <row customHeight="1" ht="23.25" hidden="1">
      <c r="A4" s="1379"/>
      <c r="B4" s="1379"/>
      <c r="C4" s="1379"/>
      <c r="D4" s="1379"/>
      <c r="E4" s="2275"/>
      <c r="F4" s="2275"/>
      <c r="G4" s="2274">
        <v>1</v>
      </c>
      <c r="H4" s="1379"/>
      <c r="I4" s="1379"/>
      <c r="J4" s="1379"/>
      <c r="K4" s="1379"/>
      <c r="L4" s="1380"/>
      <c r="M4" s="1381"/>
      <c r="N4" s="1381"/>
      <c r="O4" s="1381"/>
      <c r="P4" s="370"/>
      <c r="Q4" s="368"/>
      <c r="R4" s="369"/>
      <c r="S4" s="1473">
        <f>INDEX(PT_DIFFERENTIATION_NUM_CS,MATCH(C4,PT_DIFFERENTIATION_CS_ID,0))</f>
      </c>
      <c r="T4" s="325" t="s">
        <v>634</v>
      </c>
      <c r="U4" s="316"/>
      <c r="V4" s="2258"/>
      <c r="W4" s="2259"/>
      <c r="X4" s="2259"/>
      <c r="Y4" s="2259"/>
      <c r="Z4" s="2259"/>
      <c r="AA4" s="2259"/>
      <c r="AB4" s="2260"/>
      <c r="AC4" s="2258">
        <f>INDEX(PT_DIFFERENTIATION_CS,MATCH(C4,PT_DIFFERENTIATION_CS_ID,0))</f>
      </c>
      <c r="AD4" s="2259"/>
      <c r="AE4" s="2259"/>
      <c r="AF4" s="2259"/>
      <c r="AG4" s="2259"/>
      <c r="AH4" s="2259"/>
      <c r="AI4" s="2259"/>
      <c r="AJ4" s="2260"/>
      <c r="AK4" s="1274" t="s">
        <v>635</v>
      </c>
      <c r="AM4" s="516"/>
      <c r="AN4" s="516" t="str">
        <f>IF(T4="","",T4)</f>
        <v>Наименование централизованной системы холодного водоснабжения</v>
      </c>
      <c r="AO4" s="516"/>
      <c r="AP4" s="516"/>
      <c r="AQ4" s="1171">
        <v>0</v>
      </c>
    </row>
    <row customHeight="1" ht="23.25" hidden="1">
      <c r="A5" s="1379"/>
      <c r="B5" s="1379"/>
      <c r="C5" s="1379"/>
      <c r="D5" s="1379"/>
      <c r="E5" s="2275"/>
      <c r="F5" s="2275"/>
      <c r="G5" s="2275"/>
      <c r="H5" s="2275"/>
      <c r="I5" s="2272">
        <f>S4&amp;".1"</f>
      </c>
      <c r="J5" s="1379"/>
      <c r="K5" s="1379"/>
      <c r="L5" s="1380"/>
      <c r="P5" s="2273">
        <v>1</v>
      </c>
      <c r="Q5" s="1466"/>
      <c r="R5" s="372"/>
      <c r="S5" s="1473">
        <f>$I5</f>
      </c>
      <c r="T5" s="301" t="s">
        <v>636</v>
      </c>
      <c r="U5" s="316"/>
      <c r="V5" s="2366"/>
      <c r="W5" s="2367"/>
      <c r="X5" s="2367"/>
      <c r="Y5" s="2367"/>
      <c r="Z5" s="2367"/>
      <c r="AA5" s="2367"/>
      <c r="AB5" s="2368"/>
      <c r="AC5" s="2369"/>
      <c r="AD5" s="2370"/>
      <c r="AE5" s="2370"/>
      <c r="AF5" s="2370"/>
      <c r="AG5" s="2370"/>
      <c r="AH5" s="2370"/>
      <c r="AI5" s="2370"/>
      <c r="AJ5" s="2371"/>
      <c r="AK5" s="1274" t="s">
        <v>637</v>
      </c>
      <c r="AM5" s="516"/>
      <c r="AN5" s="516" t="str">
        <f>IF(T5="","",T5)</f>
        <v>Наименование признака дифференциации</v>
      </c>
      <c r="AO5" s="516"/>
      <c r="AP5" s="516"/>
      <c r="AQ5" s="1171">
        <v>0</v>
      </c>
    </row>
    <row customHeight="1" ht="23.25" hidden="1">
      <c r="A6" s="1379"/>
      <c r="B6" s="1379"/>
      <c r="C6" s="1379"/>
      <c r="D6" s="1379"/>
      <c r="E6" s="2275"/>
      <c r="F6" s="2275"/>
      <c r="G6" s="2275"/>
      <c r="H6" s="2275"/>
      <c r="I6" s="2302"/>
      <c r="J6" s="2272">
        <f>I5&amp;".1"</f>
      </c>
      <c r="K6" s="1379"/>
      <c r="L6" s="1380" t="s">
        <v>559</v>
      </c>
      <c r="P6" s="2273"/>
      <c r="Q6" s="2273">
        <v>1</v>
      </c>
      <c r="R6" s="373"/>
      <c r="S6" s="1473">
        <f>$J6</f>
      </c>
      <c r="T6" s="302" t="s">
        <v>560</v>
      </c>
      <c r="U6" s="316"/>
      <c r="V6" s="2261"/>
      <c r="W6" s="2262"/>
      <c r="X6" s="2262"/>
      <c r="Y6" s="2262"/>
      <c r="Z6" s="2262"/>
      <c r="AA6" s="2262"/>
      <c r="AB6" s="2263"/>
      <c r="AC6" s="2261"/>
      <c r="AD6" s="2262"/>
      <c r="AE6" s="2262"/>
      <c r="AF6" s="2262"/>
      <c r="AG6" s="2262"/>
      <c r="AH6" s="2262"/>
      <c r="AI6" s="2262"/>
      <c r="AJ6" s="2263"/>
      <c r="AK6" s="1323" t="s">
        <v>638</v>
      </c>
      <c r="AM6" s="516"/>
      <c r="AN6" s="516" t="str">
        <f>IF(T6="","",T6)</f>
        <v>Группа потребителей</v>
      </c>
      <c r="AO6" s="516"/>
      <c r="AP6" s="516"/>
      <c r="AQ6" s="1171">
        <v>0</v>
      </c>
    </row>
    <row customHeight="1" ht="23.25" hidden="1">
      <c r="A7" s="1379"/>
      <c r="B7" s="1379"/>
      <c r="C7" s="1379"/>
      <c r="D7" s="1379"/>
      <c r="E7" s="2275"/>
      <c r="F7" s="2275"/>
      <c r="G7" s="2275"/>
      <c r="H7" s="2275"/>
      <c r="I7" s="2302"/>
      <c r="J7" s="2302"/>
      <c r="K7" s="2272">
        <f>J6&amp;".1"</f>
      </c>
      <c r="L7" s="1380"/>
      <c r="P7" s="2273"/>
      <c r="Q7" s="2273"/>
      <c r="R7" s="373">
        <v>1</v>
      </c>
      <c r="S7" s="1473">
        <f>$K7</f>
      </c>
      <c r="T7" s="1453"/>
      <c r="U7" s="316"/>
      <c r="V7" s="767"/>
      <c r="W7" s="767"/>
      <c r="X7" s="1273"/>
      <c r="Y7" s="2281"/>
      <c r="Z7" s="2123" t="s">
        <v>64</v>
      </c>
      <c r="AA7" s="2281"/>
      <c r="AB7" s="2123" t="s">
        <v>64</v>
      </c>
      <c r="AC7" s="767"/>
      <c r="AD7" s="767"/>
      <c r="AE7" s="1273"/>
      <c r="AF7" s="2281"/>
      <c r="AG7" s="2123" t="s">
        <v>64</v>
      </c>
      <c r="AH7" s="2303"/>
      <c r="AI7" s="2123" t="s">
        <v>64</v>
      </c>
      <c r="AJ7" s="1454"/>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7">
        <f>STRCHECKDATE(V8:AJ8)</f>
      </c>
      <c r="AM7" s="516"/>
      <c r="AN7" s="516" t="str">
        <f>IF(T7="","",T7)</f>
        <v/>
      </c>
      <c r="AO7" s="516"/>
      <c r="AP7" s="516"/>
      <c r="AQ7" s="1171">
        <v>0</v>
      </c>
    </row>
    <row customHeight="1" ht="14.25" hidden="1">
      <c r="A8" s="1379"/>
      <c r="B8" s="1379"/>
      <c r="C8" s="1379"/>
      <c r="D8" s="1379"/>
      <c r="E8" s="2275"/>
      <c r="F8" s="2275"/>
      <c r="G8" s="2275"/>
      <c r="H8" s="2275"/>
      <c r="I8" s="2302"/>
      <c r="J8" s="2302"/>
      <c r="K8" s="2272"/>
      <c r="L8" s="1380"/>
      <c r="P8" s="2273"/>
      <c r="Q8" s="2273"/>
      <c r="R8" s="373"/>
      <c r="S8" s="1472"/>
      <c r="T8" s="316"/>
      <c r="U8" s="316"/>
      <c r="V8" s="341"/>
      <c r="W8" s="341"/>
      <c r="X8" s="344" t="str">
        <f>Y7&amp;"-"&amp;AA7</f>
        <v>-</v>
      </c>
      <c r="Y8" s="2282"/>
      <c r="Z8" s="2123"/>
      <c r="AA8" s="2282"/>
      <c r="AB8" s="2123"/>
      <c r="AC8" s="341"/>
      <c r="AD8" s="341"/>
      <c r="AE8" s="344" t="str">
        <f>AF7&amp;"-"&amp;AH7</f>
        <v>-</v>
      </c>
      <c r="AF8" s="2282"/>
      <c r="AG8" s="2123"/>
      <c r="AH8" s="2304"/>
      <c r="AI8" s="2123"/>
      <c r="AJ8" s="1455"/>
      <c r="AK8" s="2365"/>
      <c r="AM8" s="516"/>
      <c r="AN8" s="516" t="str">
        <f>IF(T8="","",T8)</f>
        <v/>
      </c>
      <c r="AO8" s="516"/>
      <c r="AP8" s="516"/>
      <c r="AQ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383"/>
      <c r="X9" s="383"/>
      <c r="Y9" s="383"/>
      <c r="Z9" s="383"/>
      <c r="AA9" s="383"/>
      <c r="AB9" s="383"/>
      <c r="AC9" s="383"/>
      <c r="AD9" s="383"/>
      <c r="AE9" s="383"/>
      <c r="AF9" s="383"/>
      <c r="AG9" s="383"/>
      <c r="AH9" s="383"/>
      <c r="AI9" s="383"/>
      <c r="AJ9" s="383"/>
      <c r="AK9" s="1274" t="s">
        <v>640</v>
      </c>
      <c r="AM9" s="516"/>
      <c r="AN9" s="516" t="str">
        <f>IF(T9="","",T9)</f>
        <v>Добавить значение признака дифференциации</v>
      </c>
      <c r="AO9" s="516"/>
      <c r="AP9" s="516"/>
      <c r="AQ9" s="1171">
        <v>0</v>
      </c>
    </row>
    <row customHeight="1" ht="21" hidden="1">
      <c r="A10" s="1379"/>
      <c r="B10" s="1379"/>
      <c r="C10" s="1379"/>
      <c r="D10" s="1379"/>
      <c r="E10" s="2275"/>
      <c r="F10" s="2275"/>
      <c r="G10" s="2275"/>
      <c r="H10" s="2275"/>
      <c r="I10" s="2272"/>
      <c r="J10" s="1379"/>
      <c r="K10" s="1379"/>
      <c r="L10" s="1380"/>
      <c r="P10" s="2273"/>
      <c r="Q10" s="1466"/>
      <c r="R10" s="372"/>
      <c r="S10" s="1294"/>
      <c r="T10" s="381" t="s">
        <v>565</v>
      </c>
      <c r="U10" s="383"/>
      <c r="V10" s="383"/>
      <c r="W10" s="383"/>
      <c r="X10" s="383"/>
      <c r="Y10" s="383"/>
      <c r="Z10" s="383"/>
      <c r="AA10" s="383"/>
      <c r="AB10" s="382"/>
      <c r="AC10" s="383"/>
      <c r="AD10" s="383"/>
      <c r="AE10" s="383"/>
      <c r="AF10" s="383"/>
      <c r="AG10" s="383"/>
      <c r="AH10" s="383"/>
      <c r="AI10" s="382"/>
      <c r="AJ10" s="383"/>
      <c r="AK10" s="1456"/>
      <c r="AM10" s="516"/>
      <c r="AN10" s="516" t="str">
        <f>IF(T10="","",T10)</f>
        <v>Добавить группу потребителей</v>
      </c>
      <c r="AO10" s="516"/>
      <c r="AP10" s="516"/>
      <c r="AQ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383"/>
      <c r="X11" s="383"/>
      <c r="Y11" s="383"/>
      <c r="Z11" s="383"/>
      <c r="AA11" s="383"/>
      <c r="AB11" s="382"/>
      <c r="AC11" s="383"/>
      <c r="AD11" s="383"/>
      <c r="AE11" s="383"/>
      <c r="AF11" s="383"/>
      <c r="AG11" s="383"/>
      <c r="AH11" s="383"/>
      <c r="AI11" s="382"/>
      <c r="AJ11" s="383"/>
      <c r="AK11" s="319"/>
      <c r="AM11" s="516"/>
      <c r="AN11" s="516" t="str">
        <f>IF(T11="","",T11)</f>
        <v>Добавить наименование признака дифференциации</v>
      </c>
      <c r="AO11" s="516"/>
      <c r="AP11" s="516"/>
      <c r="AQ11" s="1171">
        <v>0</v>
      </c>
    </row>
    <row s="1658" customFormat="1" customHeight="1" ht="14.25" hidden="1">
      <c r="A12" s="1359"/>
      <c r="B12" s="1359"/>
      <c r="C12" s="1330"/>
      <c r="D12" s="1330"/>
      <c r="E12" s="2275"/>
      <c r="F12" s="2274"/>
      <c r="G12" s="1330"/>
      <c r="H12" s="1330"/>
      <c r="I12" s="1330"/>
      <c r="J12" s="1330"/>
      <c r="K12" s="1330"/>
      <c r="L12" s="1474"/>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M12" s="805"/>
      <c r="AN12" s="805" t="str">
        <f>IF(T12="","",T12)</f>
        <v>Добавить централизованную систему для дифференциации</v>
      </c>
      <c r="AO12" s="805"/>
      <c r="AP12" s="805"/>
      <c r="AQ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M13" s="516"/>
      <c r="AN13" s="516" t="str">
        <f>IF(T13="","",T13)</f>
        <v>Добавить территорию для дифференциации</v>
      </c>
      <c r="AO13" s="516"/>
      <c r="AP13" s="516"/>
      <c r="AQ13" s="527">
        <v>0</v>
      </c>
    </row>
    <row customHeight="1" ht="14.25" hidden="1">
      <c r="AB14" s="343"/>
      <c r="AI14" s="343"/>
      <c r="AQ14" s="1171">
        <v>0</v>
      </c>
    </row>
    <row customHeight="1" ht="14.25" hidden="1">
      <c r="AC15" s="1376"/>
      <c r="AD15" s="1376"/>
      <c r="AE15" s="1377"/>
      <c r="AF15" s="2283"/>
      <c r="AG15" s="2284" t="s">
        <v>64</v>
      </c>
      <c r="AH15" s="2283"/>
      <c r="AI15" s="2284" t="s">
        <v>64</v>
      </c>
      <c r="AQ15" s="1171">
        <v>0</v>
      </c>
    </row>
    <row customHeight="1" ht="14.25" hidden="1">
      <c r="AC16" s="1376"/>
      <c r="AD16" s="1376"/>
      <c r="AE16" s="344" t="str">
        <f>AF15&amp;"-"&amp;AH15</f>
        <v>-</v>
      </c>
      <c r="AF16" s="2284"/>
      <c r="AG16" s="2284"/>
      <c r="AH16" s="2284"/>
      <c r="AI16" s="2284"/>
      <c r="AQ16" s="1171">
        <v>0</v>
      </c>
    </row>
    <row customHeight="1" ht="14.25" hidden="1">
      <c r="AI17" s="343"/>
      <c r="AQ17" s="1171">
        <v>0</v>
      </c>
    </row>
    <row s="1382" customFormat="1" customHeight="1" ht="22.5" hidden="1">
      <c r="L18" s="1463"/>
      <c r="M18" s="1378"/>
      <c r="N18" s="1378"/>
      <c r="O18" s="1383" t="s">
        <v>567</v>
      </c>
      <c r="P18" s="1378"/>
      <c r="Q18" s="1387"/>
      <c r="R18" s="1387"/>
      <c r="S18" s="745"/>
      <c r="Y18" s="1383"/>
      <c r="AA18" s="1383"/>
      <c r="AB18" s="1382"/>
      <c r="AF18" s="1383"/>
      <c r="AH18" s="1383"/>
      <c r="AI18" s="1382"/>
      <c r="AL18" s="527"/>
      <c r="AM18" s="527"/>
      <c r="AN18" s="527"/>
      <c r="AO18" s="527"/>
      <c r="AP18" s="527"/>
      <c r="AQ18" s="1176">
        <v>0</v>
      </c>
    </row>
    <row s="1382" customFormat="1" customHeight="1" ht="14.25" hidden="1">
      <c r="L19" s="1463"/>
      <c r="M19" s="1378"/>
      <c r="N19" s="1378"/>
      <c r="O19" s="1378"/>
      <c r="P19" s="1378"/>
      <c r="Q19" s="1387"/>
      <c r="R19" s="1387"/>
      <c r="S19" s="745"/>
      <c r="AB19" s="1382"/>
      <c r="AI19" s="1382"/>
      <c r="AL19" s="527"/>
      <c r="AM19" s="527"/>
      <c r="AN19" s="527"/>
      <c r="AO19" s="527"/>
      <c r="AP19" s="527"/>
      <c r="AQ19" s="1176">
        <v>0</v>
      </c>
    </row>
    <row s="1382" customFormat="1" customHeight="1" ht="12" hidden="1">
      <c r="L20" s="1463"/>
      <c r="M20" s="1378"/>
      <c r="N20" s="1378"/>
      <c r="O20" s="1380" t="s">
        <v>568</v>
      </c>
      <c r="P20" s="1378"/>
      <c r="Q20" s="1458"/>
      <c r="R20" s="1458"/>
      <c r="S20" s="745"/>
      <c r="T20" s="1176" t="s">
        <v>569</v>
      </c>
      <c r="Z20" s="202" t="s">
        <v>570</v>
      </c>
      <c r="AB20" s="202" t="s">
        <v>571</v>
      </c>
      <c r="AC20" s="1176" t="s">
        <v>569</v>
      </c>
      <c r="AG20" s="202" t="s">
        <v>572</v>
      </c>
      <c r="AI20" s="202" t="s">
        <v>571</v>
      </c>
      <c r="AQ20" s="1176">
        <v>0</v>
      </c>
    </row>
    <row customHeight="1" ht="14.25" hidden="1">
      <c r="O21" s="1380"/>
      <c r="AQ21" s="1171">
        <v>0</v>
      </c>
    </row>
    <row customHeight="1" ht="14.25" hidden="1">
      <c r="O22" s="1380"/>
      <c r="AQ22" s="1171">
        <v>0</v>
      </c>
    </row>
    <row customHeight="1" ht="14.699999999999998">
      <c r="Q23" s="392"/>
      <c r="R23" s="392"/>
      <c r="S23" s="1291"/>
      <c r="T23" s="379"/>
      <c r="U23" s="379"/>
      <c r="V23" s="525"/>
      <c r="W23" s="525"/>
      <c r="X23" s="525"/>
      <c r="Y23" s="525"/>
      <c r="Z23" s="525"/>
      <c r="AA23" s="525"/>
      <c r="AB23" s="525"/>
      <c r="AC23" s="525"/>
      <c r="AD23" s="525"/>
      <c r="AE23" s="525"/>
      <c r="AF23" s="525"/>
      <c r="AG23" s="525"/>
      <c r="AH23" s="525"/>
      <c r="AI23" s="525"/>
      <c r="AQ23" s="1171">
        <v>14</v>
      </c>
    </row>
    <row customHeight="1" ht="14.699999999999998">
      <c r="Q24" s="392"/>
      <c r="R24" s="392"/>
      <c r="S24" s="226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4"/>
      <c r="U24" s="2264"/>
      <c r="V24" s="2264"/>
      <c r="W24" s="2264"/>
      <c r="X24" s="2264"/>
      <c r="Y24" s="2264"/>
      <c r="Z24" s="2264"/>
      <c r="AA24" s="2264"/>
      <c r="AB24" s="2264"/>
      <c r="AC24" s="2264"/>
      <c r="AD24" s="2264"/>
      <c r="AE24" s="2264"/>
      <c r="AF24" s="2264"/>
      <c r="AG24" s="2264"/>
      <c r="AH24" s="2264"/>
      <c r="AI24" s="1259"/>
      <c r="AQ24" s="1171">
        <v>14</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525"/>
      <c r="AQ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342"/>
      <c r="AC27" s="2267" t="str">
        <f>IF(TITLE_NAME_OR_PR_CHANGE="",IF(TITLE_NAME_OR_PR="","",TITLE_NAME_OR_PR),TITLE_NAME_OR_PR_CHANGE)</f>
        <v>Агентство по тарифам Приморского края</v>
      </c>
      <c r="AD27" s="2267"/>
      <c r="AE27" s="2267"/>
      <c r="AF27" s="2267"/>
      <c r="AG27" s="2267"/>
      <c r="AH27" s="2267"/>
      <c r="AI27" s="342"/>
      <c r="AJ27" s="342"/>
      <c r="AK27" s="296"/>
      <c r="AL27" s="384"/>
      <c r="AM27" s="384"/>
      <c r="AN27" s="384"/>
      <c r="AO27" s="384"/>
      <c r="AP27" s="384"/>
      <c r="AQ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342"/>
      <c r="AC28" s="2280" t="str">
        <f>IF(TITLE_DATE_PR_CHANGE="",IF(TITLE_DATE_PR="","",TITLE_DATE_PR),TITLE_DATE_PR_CHANGE)</f>
        <v>45910</v>
      </c>
      <c r="AD28" s="2280"/>
      <c r="AE28" s="2280"/>
      <c r="AF28" s="2280"/>
      <c r="AG28" s="2280"/>
      <c r="AH28" s="2280"/>
      <c r="AI28" s="342"/>
      <c r="AJ28" s="342"/>
      <c r="AK28" s="296"/>
      <c r="AL28" s="384"/>
      <c r="AM28" s="384"/>
      <c r="AN28" s="384"/>
      <c r="AO28" s="384"/>
      <c r="AP28" s="384"/>
      <c r="AQ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342"/>
      <c r="AC29" s="2267" t="str">
        <f>IF(TITLE_NUMBER_PR_CHANGE="",IF(TITLE_NUMBER_PR="","",TITLE_NUMBER_PR),TITLE_NUMBER_PR_CHANGE)</f>
        <v>37/2</v>
      </c>
      <c r="AD29" s="2267"/>
      <c r="AE29" s="2267"/>
      <c r="AF29" s="2267"/>
      <c r="AG29" s="2267"/>
      <c r="AH29" s="2267"/>
      <c r="AI29" s="342"/>
      <c r="AJ29" s="342"/>
      <c r="AK29" s="296"/>
      <c r="AL29" s="384"/>
      <c r="AM29" s="384"/>
      <c r="AN29" s="384"/>
      <c r="AO29" s="384"/>
      <c r="AP29" s="384"/>
      <c r="AQ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342"/>
      <c r="AC30" s="2267" t="str">
        <f>IF(TITLE_IST_PUB_CHANGE="",IF(TITLE_IST_PUB="","",TITLE_IST_PUB),TITLE_IST_PUB_CHANGE)</f>
        <v>http://pravo.gov.ru</v>
      </c>
      <c r="AD30" s="2267"/>
      <c r="AE30" s="2267"/>
      <c r="AF30" s="2267"/>
      <c r="AG30" s="2267"/>
      <c r="AH30" s="2267"/>
      <c r="AI30" s="342"/>
      <c r="AJ30" s="342"/>
      <c r="AK30" s="296"/>
      <c r="AL30" s="384"/>
      <c r="AM30" s="384"/>
      <c r="AN30" s="384"/>
      <c r="AO30" s="384"/>
      <c r="AP30" s="384"/>
      <c r="AQ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525"/>
      <c r="AQ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342"/>
      <c r="AC32" s="2280" t="str">
        <f>IF(TITLE_DATE_PR_CHANGE="",IF(TITLE_DATE_PR="","",TITLE_DATE_PR),TITLE_DATE_PR_CHANGE)</f>
        <v>45910</v>
      </c>
      <c r="AD32" s="2280"/>
      <c r="AE32" s="2280"/>
      <c r="AF32" s="2280"/>
      <c r="AG32" s="2280"/>
      <c r="AH32" s="2280"/>
      <c r="AI32" s="342"/>
      <c r="AJ32" s="342"/>
      <c r="AK32" s="296"/>
      <c r="AL32" s="384"/>
      <c r="AM32" s="384"/>
      <c r="AN32" s="384"/>
      <c r="AO32" s="384"/>
      <c r="AP32" s="384"/>
      <c r="AQ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342"/>
      <c r="AC33" s="2267" t="str">
        <f>IF(TITLE_NUMBER_PR_CHANGE="",IF(TITLE_NUMBER_PR="","",TITLE_NUMBER_PR),TITLE_NUMBER_PR_CHANGE)</f>
        <v>37/2</v>
      </c>
      <c r="AD33" s="2267"/>
      <c r="AE33" s="2267"/>
      <c r="AF33" s="2267"/>
      <c r="AG33" s="2267"/>
      <c r="AH33" s="2267"/>
      <c r="AI33" s="342"/>
      <c r="AJ33" s="342"/>
      <c r="AK33" s="296"/>
      <c r="AL33" s="384"/>
      <c r="AM33" s="384"/>
      <c r="AN33" s="384"/>
      <c r="AO33" s="384"/>
      <c r="AP33" s="384"/>
      <c r="AQ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470"/>
      <c r="V34" s="342"/>
      <c r="W34" s="342"/>
      <c r="X34" s="342"/>
      <c r="Y34" s="342"/>
      <c r="Z34" s="342"/>
      <c r="AA34" s="342"/>
      <c r="AB34" s="294" t="s">
        <v>577</v>
      </c>
      <c r="AC34" s="342"/>
      <c r="AD34" s="342"/>
      <c r="AE34" s="342"/>
      <c r="AF34" s="342"/>
      <c r="AG34" s="342"/>
      <c r="AH34" s="342"/>
      <c r="AI34" s="294" t="s">
        <v>577</v>
      </c>
      <c r="AL34" s="384"/>
      <c r="AM34" s="384"/>
      <c r="AN34" s="384"/>
      <c r="AO34" s="384"/>
      <c r="AP34" s="384"/>
      <c r="AQ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Q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t="s">
        <v>454</v>
      </c>
      <c r="AQ36" s="1171">
        <v>14</v>
      </c>
    </row>
    <row customHeight="1" ht="14.699999999999998">
      <c r="Q37" s="392"/>
      <c r="R37" s="392"/>
      <c r="S37" s="2289" t="s">
        <v>91</v>
      </c>
      <c r="T37" s="2225" t="s">
        <v>578</v>
      </c>
      <c r="U37" s="317"/>
      <c r="V37" s="2290" t="s">
        <v>579</v>
      </c>
      <c r="W37" s="2291"/>
      <c r="X37" s="2291"/>
      <c r="Y37" s="2291"/>
      <c r="Z37" s="2291"/>
      <c r="AA37" s="2292"/>
      <c r="AB37" s="2293" t="s">
        <v>580</v>
      </c>
      <c r="AC37" s="2290" t="s">
        <v>579</v>
      </c>
      <c r="AD37" s="2291"/>
      <c r="AE37" s="2291"/>
      <c r="AF37" s="2291"/>
      <c r="AG37" s="2291"/>
      <c r="AH37" s="2292"/>
      <c r="AI37" s="2293" t="s">
        <v>581</v>
      </c>
      <c r="AJ37" s="2296" t="s">
        <v>582</v>
      </c>
      <c r="AK37" s="2143"/>
      <c r="AQ37" s="1171">
        <v>14</v>
      </c>
    </row>
    <row customHeight="1" ht="35.699999999999996">
      <c r="Q38" s="392"/>
      <c r="R38" s="392"/>
      <c r="S38" s="2289"/>
      <c r="T38" s="2225"/>
      <c r="U38" s="1047"/>
      <c r="V38" s="1468" t="s">
        <v>642</v>
      </c>
      <c r="W38" s="2278" t="s">
        <v>585</v>
      </c>
      <c r="X38" s="2279"/>
      <c r="Y38" s="2278" t="s">
        <v>586</v>
      </c>
      <c r="Z38" s="2285"/>
      <c r="AA38" s="2279"/>
      <c r="AB38" s="2294"/>
      <c r="AC38" s="1468" t="s">
        <v>642</v>
      </c>
      <c r="AD38" s="2278" t="s">
        <v>585</v>
      </c>
      <c r="AE38" s="2279"/>
      <c r="AF38" s="2278" t="s">
        <v>586</v>
      </c>
      <c r="AG38" s="2285"/>
      <c r="AH38" s="2279"/>
      <c r="AI38" s="2294"/>
      <c r="AJ38" s="2297"/>
      <c r="AK38" s="2143"/>
      <c r="AQ38" s="1171">
        <v>34</v>
      </c>
    </row>
    <row customHeight="1" ht="35.699999999999996">
      <c r="A39" s="1386"/>
      <c r="B39" s="1386" t="s">
        <v>204</v>
      </c>
      <c r="C39" s="1386" t="s">
        <v>205</v>
      </c>
      <c r="D39" s="1386" t="s">
        <v>206</v>
      </c>
      <c r="E39" s="1380" t="s">
        <v>587</v>
      </c>
      <c r="F39" s="1380" t="s">
        <v>588</v>
      </c>
      <c r="G39" s="1380" t="s">
        <v>589</v>
      </c>
      <c r="H39" s="1380"/>
      <c r="I39" s="1380" t="s">
        <v>643</v>
      </c>
      <c r="J39" s="1380" t="s">
        <v>592</v>
      </c>
      <c r="K39" s="1380" t="s">
        <v>644</v>
      </c>
      <c r="L39" s="1380" t="s">
        <v>568</v>
      </c>
      <c r="Q39" s="392"/>
      <c r="R39" s="392"/>
      <c r="S39" s="2289"/>
      <c r="T39" s="2225"/>
      <c r="U39" s="318"/>
      <c r="V39" s="1468" t="s">
        <v>645</v>
      </c>
      <c r="W39" s="1238" t="s">
        <v>646</v>
      </c>
      <c r="X39" s="1238" t="s">
        <v>647</v>
      </c>
      <c r="Y39" s="1471" t="s">
        <v>596</v>
      </c>
      <c r="Z39" s="2286" t="s">
        <v>597</v>
      </c>
      <c r="AA39" s="2287"/>
      <c r="AB39" s="2295"/>
      <c r="AC39" s="1468" t="s">
        <v>645</v>
      </c>
      <c r="AD39" s="1238" t="s">
        <v>646</v>
      </c>
      <c r="AE39" s="1238" t="s">
        <v>647</v>
      </c>
      <c r="AF39" s="1471" t="s">
        <v>596</v>
      </c>
      <c r="AG39" s="2286" t="s">
        <v>597</v>
      </c>
      <c r="AH39" s="2287"/>
      <c r="AI39" s="2295"/>
      <c r="AJ39" s="2298"/>
      <c r="AK39" s="2143"/>
      <c r="AQ39" s="1171">
        <v>34</v>
      </c>
    </row>
    <row s="1657" customFormat="1" customHeight="1" ht="0">
      <c r="A40" s="1386"/>
      <c r="B40" s="1386"/>
      <c r="C40" s="1386"/>
      <c r="D40" s="1386"/>
      <c r="E40" s="1386"/>
      <c r="F40" s="1386"/>
      <c r="G40" s="1386"/>
      <c r="H40" s="1386"/>
      <c r="I40" s="1386"/>
      <c r="J40" s="1386"/>
      <c r="K40" s="1386"/>
      <c r="L40" s="1380"/>
      <c r="M40" s="1378"/>
      <c r="N40" s="1378"/>
      <c r="O40" s="1378"/>
      <c r="P40" s="1262"/>
      <c r="Q40" s="1263"/>
      <c r="R40" s="1270">
        <v>1</v>
      </c>
      <c r="S40" s="1293" t="s">
        <v>141</v>
      </c>
      <c r="T40" s="1271" t="s">
        <v>107</v>
      </c>
      <c r="U40" s="1261" t="str">
        <f>OFFSET(U40,0,-1)</f>
        <v>2</v>
      </c>
      <c r="V40" s="1467">
        <f>OFFSET(V40,0,-1)+1</f>
        <v>3</v>
      </c>
      <c r="W40" s="1467">
        <f>OFFSET(W40,0,-1)+1</f>
        <v>4</v>
      </c>
      <c r="X40" s="1467">
        <f>OFFSET(X40,0,-1)+1</f>
        <v>5</v>
      </c>
      <c r="Y40" s="1467">
        <f>OFFSET(Y40,0,-1)+1</f>
        <v>6</v>
      </c>
      <c r="Z40" s="2288">
        <f>OFFSET(Z40,0,-1)+1</f>
        <v>7</v>
      </c>
      <c r="AA40" s="2288"/>
      <c r="AB40" s="1467">
        <f>OFFSET(AB40,0,-2)+1</f>
        <v>8</v>
      </c>
      <c r="AC40" s="1467">
        <f>OFFSET(AC40,0,-1)+1</f>
        <v>9</v>
      </c>
      <c r="AD40" s="1467">
        <f>OFFSET(AD40,0,-1)+1</f>
        <v>10</v>
      </c>
      <c r="AE40" s="1467">
        <f>OFFSET(AE40,0,-1)+1</f>
        <v>11</v>
      </c>
      <c r="AF40" s="1467">
        <f>OFFSET(AF40,0,-1)+1</f>
        <v>12</v>
      </c>
      <c r="AG40" s="2288">
        <f>OFFSET(AG40,0,-1)+1</f>
        <v>13</v>
      </c>
      <c r="AH40" s="2288"/>
      <c r="AI40" s="1467">
        <f>OFFSET(AI40,0,-2)+1</f>
        <v>14</v>
      </c>
      <c r="AJ40" s="1261">
        <f>OFFSET(AJ40,0,-1)</f>
        <v>14</v>
      </c>
      <c r="AK40" s="1467">
        <f>OFFSET(AK40,0,-1)+1</f>
        <v>15</v>
      </c>
      <c r="AL40" s="527"/>
      <c r="AM40" s="527"/>
      <c r="AN40" s="527"/>
      <c r="AO40" s="527"/>
      <c r="AP40" s="527"/>
      <c r="AQ40" s="512">
        <v>0</v>
      </c>
    </row>
    <row customHeight="1" ht="24">
      <c r="A41" s="1379" t="s">
        <v>384</v>
      </c>
      <c r="B41" s="1379"/>
      <c r="C41" s="1379"/>
      <c r="D41" s="1379"/>
      <c r="E41" s="2274">
        <v>1</v>
      </c>
      <c r="F41" s="1379"/>
      <c r="G41" s="1379"/>
      <c r="H41" s="1379"/>
      <c r="I41" s="1379"/>
      <c r="J41" s="1379"/>
      <c r="K41" s="1379"/>
      <c r="L41" s="1380"/>
      <c r="M41" s="1381"/>
      <c r="N41" s="1381"/>
      <c r="O41" s="1381"/>
      <c r="P41" s="377"/>
      <c r="Q41" s="376"/>
      <c r="R41" s="371"/>
      <c r="S41" s="1473">
        <f>INDEX(PT_DIFFERENTIATION_NUM_NTAR,MATCH(A41,PT_DIFFERENTIATION_NTAR_ID,0))</f>
        <v>0</v>
      </c>
      <c r="T41" s="314" t="s">
        <v>192</v>
      </c>
      <c r="U41" s="316"/>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6"/>
      <c r="AN41" s="516" t="str">
        <f>IF(T41="","",T41)</f>
        <v>Наименование тарифа</v>
      </c>
      <c r="AO41" s="516"/>
      <c r="AP41" s="516"/>
      <c r="AQ41" s="1171">
        <v>23</v>
      </c>
    </row>
    <row customHeight="1" ht="24">
      <c r="A42" s="1379" t="s">
        <v>384</v>
      </c>
      <c r="B42" s="1379" t="s">
        <v>385</v>
      </c>
      <c r="C42" s="1379"/>
      <c r="D42" s="1379"/>
      <c r="E42" s="2275"/>
      <c r="F42" s="2274">
        <v>1</v>
      </c>
      <c r="G42" s="1379"/>
      <c r="H42" s="1379"/>
      <c r="I42" s="1379"/>
      <c r="J42" s="1379"/>
      <c r="K42" s="1379"/>
      <c r="L42" s="1380"/>
      <c r="M42" s="1381"/>
      <c r="N42" s="1381"/>
      <c r="O42" s="1381"/>
      <c r="P42" s="1469"/>
      <c r="Q42" s="368"/>
      <c r="R42" s="369"/>
      <c r="S42" s="1473" t="str">
        <f>INDEX(PT_DIFFERENTIATION_NUM_TER,MATCH(B42,PT_DIFFERENTIATION_TER_ID,0))</f>
        <v>.</v>
      </c>
      <c r="T42" s="324" t="s">
        <v>550</v>
      </c>
      <c r="U42" s="316"/>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74" t="s">
        <v>551</v>
      </c>
      <c r="AM42" s="516"/>
      <c r="AN42" s="516" t="str">
        <f>IF(T42="","",T42)</f>
        <v>Территория действия тарифа</v>
      </c>
      <c r="AO42" s="516"/>
      <c r="AP42" s="516"/>
      <c r="AQ42" s="1171">
        <v>23</v>
      </c>
    </row>
    <row customHeight="1" ht="24">
      <c r="A43" s="1379" t="s">
        <v>384</v>
      </c>
      <c r="B43" s="1379" t="s">
        <v>385</v>
      </c>
      <c r="C43" s="1379" t="s">
        <v>386</v>
      </c>
      <c r="D43" s="1379"/>
      <c r="E43" s="2275"/>
      <c r="F43" s="2275"/>
      <c r="G43" s="2274">
        <v>1</v>
      </c>
      <c r="H43" s="1379"/>
      <c r="I43" s="1379"/>
      <c r="J43" s="1379"/>
      <c r="K43" s="1379"/>
      <c r="L43" s="1380"/>
      <c r="M43" s="1381"/>
      <c r="N43" s="1381"/>
      <c r="O43" s="1381"/>
      <c r="P43" s="370"/>
      <c r="Q43" s="368"/>
      <c r="R43" s="369"/>
      <c r="S43" s="1473" t="str">
        <f>INDEX(PT_DIFFERENTIATION_NUM_CS,MATCH(C43,PT_DIFFERENTIATION_CS_ID,0))</f>
        <v>..</v>
      </c>
      <c r="T43" s="325" t="s">
        <v>634</v>
      </c>
      <c r="U43" s="316"/>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74" t="s">
        <v>635</v>
      </c>
      <c r="AM43" s="516"/>
      <c r="AN43" s="516" t="str">
        <f>IF(T43="","",T43)</f>
        <v>Наименование централизованной системы холодного водоснабжения</v>
      </c>
      <c r="AO43" s="516"/>
      <c r="AP43" s="516"/>
      <c r="AQ43" s="1171">
        <v>23</v>
      </c>
    </row>
    <row customHeight="1" ht="24">
      <c r="A44" s="1379" t="s">
        <v>384</v>
      </c>
      <c r="B44" s="1379" t="s">
        <v>385</v>
      </c>
      <c r="C44" s="1379" t="s">
        <v>386</v>
      </c>
      <c r="D44" s="1379" t="s">
        <v>649</v>
      </c>
      <c r="E44" s="2275"/>
      <c r="F44" s="2275"/>
      <c r="G44" s="2275"/>
      <c r="H44" s="2275"/>
      <c r="I44" s="2272" t="str">
        <f>S43&amp;".1"</f>
        <v>...1</v>
      </c>
      <c r="J44" s="1379"/>
      <c r="K44" s="1379"/>
      <c r="L44" s="1380"/>
      <c r="P44" s="2273">
        <v>1</v>
      </c>
      <c r="Q44" s="1466"/>
      <c r="R44" s="372"/>
      <c r="S44" s="1473" t="str">
        <f>$I44</f>
        <v>...1</v>
      </c>
      <c r="T44" s="301" t="s">
        <v>636</v>
      </c>
      <c r="U44" s="316"/>
      <c r="V44" s="2366"/>
      <c r="W44" s="2367"/>
      <c r="X44" s="2367"/>
      <c r="Y44" s="2367"/>
      <c r="Z44" s="2367"/>
      <c r="AA44" s="2367"/>
      <c r="AB44" s="2368"/>
      <c r="AC44" s="2369"/>
      <c r="AD44" s="2370"/>
      <c r="AE44" s="2370"/>
      <c r="AF44" s="2370"/>
      <c r="AG44" s="2370"/>
      <c r="AH44" s="2370"/>
      <c r="AI44" s="2370"/>
      <c r="AJ44" s="2371"/>
      <c r="AK44" s="1274" t="s">
        <v>637</v>
      </c>
      <c r="AM44" s="516"/>
      <c r="AN44" s="516" t="str">
        <f>IF(T44="","",T44)</f>
        <v>Наименование признака дифференциации</v>
      </c>
      <c r="AO44" s="516"/>
      <c r="AP44" s="516"/>
      <c r="AQ44" s="1171">
        <v>23</v>
      </c>
    </row>
    <row customHeight="1" ht="24">
      <c r="A45" s="1379" t="s">
        <v>384</v>
      </c>
      <c r="B45" s="1379" t="s">
        <v>385</v>
      </c>
      <c r="C45" s="1379" t="s">
        <v>386</v>
      </c>
      <c r="D45" s="1379" t="s">
        <v>649</v>
      </c>
      <c r="E45" s="2275"/>
      <c r="F45" s="2275"/>
      <c r="G45" s="2275"/>
      <c r="H45" s="2275"/>
      <c r="I45" s="2302"/>
      <c r="J45" s="2272" t="str">
        <f>I44&amp;".1"</f>
        <v>...1.1</v>
      </c>
      <c r="K45" s="1379"/>
      <c r="L45" s="1380" t="s">
        <v>559</v>
      </c>
      <c r="P45" s="2273"/>
      <c r="Q45" s="2273">
        <v>1</v>
      </c>
      <c r="R45" s="373"/>
      <c r="S45" s="1473" t="str">
        <f>$J45</f>
        <v>...1.1</v>
      </c>
      <c r="T45" s="302" t="s">
        <v>560</v>
      </c>
      <c r="U45" s="316"/>
      <c r="V45" s="2261"/>
      <c r="W45" s="2262"/>
      <c r="X45" s="2262"/>
      <c r="Y45" s="2262"/>
      <c r="Z45" s="2262"/>
      <c r="AA45" s="2262"/>
      <c r="AB45" s="2263"/>
      <c r="AC45" s="2261"/>
      <c r="AD45" s="2262"/>
      <c r="AE45" s="2262"/>
      <c r="AF45" s="2262"/>
      <c r="AG45" s="2262"/>
      <c r="AH45" s="2262"/>
      <c r="AI45" s="2262"/>
      <c r="AJ45" s="2263"/>
      <c r="AK45" s="1323" t="s">
        <v>638</v>
      </c>
      <c r="AM45" s="516"/>
      <c r="AN45" s="516" t="str">
        <f>IF(T45="","",T45)</f>
        <v>Группа потребителей</v>
      </c>
      <c r="AO45" s="516"/>
      <c r="AP45" s="516"/>
      <c r="AQ45" s="1171">
        <v>23</v>
      </c>
    </row>
    <row customHeight="1" ht="24">
      <c r="A46" s="1379" t="s">
        <v>384</v>
      </c>
      <c r="B46" s="1379" t="s">
        <v>385</v>
      </c>
      <c r="C46" s="1379" t="s">
        <v>386</v>
      </c>
      <c r="D46" s="1379" t="s">
        <v>649</v>
      </c>
      <c r="E46" s="2275"/>
      <c r="F46" s="2275"/>
      <c r="G46" s="2275"/>
      <c r="H46" s="2275"/>
      <c r="I46" s="2302"/>
      <c r="J46" s="2302"/>
      <c r="K46" s="2272" t="str">
        <f>J45&amp;".1"</f>
        <v>...1.1.1</v>
      </c>
      <c r="L46" s="1380"/>
      <c r="P46" s="2273"/>
      <c r="Q46" s="2273"/>
      <c r="R46" s="373">
        <v>1</v>
      </c>
      <c r="S46" s="1473" t="str">
        <f>$K46</f>
        <v>...1.1.1</v>
      </c>
      <c r="T46" s="1453"/>
      <c r="U46" s="316"/>
      <c r="V46" s="767"/>
      <c r="W46" s="767"/>
      <c r="X46" s="1273"/>
      <c r="Y46" s="2281"/>
      <c r="Z46" s="2123" t="s">
        <v>64</v>
      </c>
      <c r="AA46" s="2281"/>
      <c r="AB46" s="2123" t="s">
        <v>64</v>
      </c>
      <c r="AC46" s="767"/>
      <c r="AD46" s="767"/>
      <c r="AE46" s="1273"/>
      <c r="AF46" s="2281"/>
      <c r="AG46" s="2123" t="s">
        <v>64</v>
      </c>
      <c r="AH46" s="2303"/>
      <c r="AI46" s="2123" t="s">
        <v>64</v>
      </c>
      <c r="AJ46" s="1454"/>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7">
        <f>STRCHECKDATE(V47:AJ47)</f>
      </c>
      <c r="AM46" s="516"/>
      <c r="AN46" s="516" t="str">
        <f>IF(T46="","",T46)</f>
        <v/>
      </c>
      <c r="AO46" s="516"/>
      <c r="AP46" s="516"/>
      <c r="AQ46" s="1171">
        <v>23</v>
      </c>
    </row>
    <row customHeight="1" ht="0">
      <c r="A47" s="1379" t="s">
        <v>384</v>
      </c>
      <c r="B47" s="1379" t="s">
        <v>385</v>
      </c>
      <c r="C47" s="1379" t="s">
        <v>386</v>
      </c>
      <c r="D47" s="1379" t="s">
        <v>649</v>
      </c>
      <c r="E47" s="2275"/>
      <c r="F47" s="2275"/>
      <c r="G47" s="2275"/>
      <c r="H47" s="2275"/>
      <c r="I47" s="2302"/>
      <c r="J47" s="2302"/>
      <c r="K47" s="2272"/>
      <c r="L47" s="1380"/>
      <c r="P47" s="2273"/>
      <c r="Q47" s="2273"/>
      <c r="R47" s="373"/>
      <c r="S47" s="1472"/>
      <c r="T47" s="316"/>
      <c r="U47" s="316"/>
      <c r="V47" s="341"/>
      <c r="W47" s="341"/>
      <c r="X47" s="344" t="str">
        <f>Y46&amp;"-"&amp;AA46</f>
        <v>-</v>
      </c>
      <c r="Y47" s="2282"/>
      <c r="Z47" s="2123"/>
      <c r="AA47" s="2282"/>
      <c r="AB47" s="2123"/>
      <c r="AC47" s="341"/>
      <c r="AD47" s="341"/>
      <c r="AE47" s="344" t="str">
        <f>AF46&amp;"-"&amp;AH46</f>
        <v>-</v>
      </c>
      <c r="AF47" s="2282"/>
      <c r="AG47" s="2123"/>
      <c r="AH47" s="2304"/>
      <c r="AI47" s="2123"/>
      <c r="AJ47" s="1455"/>
      <c r="AK47" s="2365"/>
      <c r="AM47" s="516"/>
      <c r="AN47" s="516" t="str">
        <f>IF(T47="","",T47)</f>
        <v/>
      </c>
      <c r="AO47" s="516"/>
      <c r="AP47" s="516"/>
      <c r="AQ47" s="1171">
        <v>0</v>
      </c>
    </row>
    <row customHeight="1" ht="21">
      <c r="A48" s="1379" t="s">
        <v>384</v>
      </c>
      <c r="B48" s="1379" t="s">
        <v>385</v>
      </c>
      <c r="C48" s="1379" t="s">
        <v>386</v>
      </c>
      <c r="D48" s="1379" t="s">
        <v>649</v>
      </c>
      <c r="E48" s="2275"/>
      <c r="F48" s="2275"/>
      <c r="G48" s="2275"/>
      <c r="H48" s="2275"/>
      <c r="I48" s="2302"/>
      <c r="J48" s="2272"/>
      <c r="K48" s="1379"/>
      <c r="L48" s="1380"/>
      <c r="P48" s="2273"/>
      <c r="Q48" s="2273"/>
      <c r="R48" s="372"/>
      <c r="S48" s="1294"/>
      <c r="T48" s="303" t="s">
        <v>639</v>
      </c>
      <c r="U48" s="383"/>
      <c r="V48" s="383"/>
      <c r="W48" s="383"/>
      <c r="X48" s="383"/>
      <c r="Y48" s="383"/>
      <c r="Z48" s="383"/>
      <c r="AA48" s="383"/>
      <c r="AB48" s="383"/>
      <c r="AC48" s="383"/>
      <c r="AD48" s="383"/>
      <c r="AE48" s="383"/>
      <c r="AF48" s="383"/>
      <c r="AG48" s="383"/>
      <c r="AH48" s="383"/>
      <c r="AI48" s="383"/>
      <c r="AJ48" s="383"/>
      <c r="AK48" s="1274" t="s">
        <v>640</v>
      </c>
      <c r="AM48" s="516"/>
      <c r="AN48" s="516" t="str">
        <f>IF(T48="","",T48)</f>
        <v>Добавить значение признака дифференциации</v>
      </c>
      <c r="AO48" s="516"/>
      <c r="AP48" s="516"/>
      <c r="AQ48" s="1171">
        <v>20</v>
      </c>
    </row>
    <row customHeight="1" ht="22.049999999999997">
      <c r="A49" s="1379" t="s">
        <v>384</v>
      </c>
      <c r="B49" s="1379" t="s">
        <v>385</v>
      </c>
      <c r="C49" s="1379" t="s">
        <v>386</v>
      </c>
      <c r="D49" s="1379" t="s">
        <v>649</v>
      </c>
      <c r="E49" s="2275"/>
      <c r="F49" s="2275"/>
      <c r="G49" s="2275"/>
      <c r="H49" s="2275"/>
      <c r="I49" s="2272"/>
      <c r="J49" s="1379"/>
      <c r="K49" s="1379"/>
      <c r="L49" s="1380"/>
      <c r="P49" s="2273"/>
      <c r="Q49" s="1466"/>
      <c r="R49" s="372"/>
      <c r="S49" s="1294"/>
      <c r="T49" s="381" t="s">
        <v>565</v>
      </c>
      <c r="U49" s="383"/>
      <c r="V49" s="383"/>
      <c r="W49" s="383"/>
      <c r="X49" s="383"/>
      <c r="Y49" s="383"/>
      <c r="Z49" s="383"/>
      <c r="AA49" s="383"/>
      <c r="AB49" s="382"/>
      <c r="AC49" s="383"/>
      <c r="AD49" s="383"/>
      <c r="AE49" s="383"/>
      <c r="AF49" s="383"/>
      <c r="AG49" s="383"/>
      <c r="AH49" s="383"/>
      <c r="AI49" s="382"/>
      <c r="AJ49" s="383"/>
      <c r="AK49" s="1456"/>
      <c r="AM49" s="516"/>
      <c r="AN49" s="516" t="str">
        <f>IF(T49="","",T49)</f>
        <v>Добавить группу потребителей</v>
      </c>
      <c r="AO49" s="516"/>
      <c r="AP49" s="516"/>
      <c r="AQ49" s="1171">
        <v>21</v>
      </c>
    </row>
    <row customHeight="1" ht="22.049999999999997">
      <c r="A50" s="1379" t="s">
        <v>384</v>
      </c>
      <c r="B50" s="1379" t="s">
        <v>385</v>
      </c>
      <c r="C50" s="1379" t="s">
        <v>386</v>
      </c>
      <c r="D50" s="1379" t="s">
        <v>649</v>
      </c>
      <c r="E50" s="2275"/>
      <c r="F50" s="2275"/>
      <c r="G50" s="2275"/>
      <c r="H50" s="2274"/>
      <c r="I50" s="1379"/>
      <c r="J50" s="1379"/>
      <c r="K50" s="1379"/>
      <c r="L50" s="1380"/>
      <c r="M50" s="1381"/>
      <c r="N50" s="1381"/>
      <c r="O50" s="553"/>
      <c r="P50" s="376"/>
      <c r="Q50" s="391"/>
      <c r="R50" s="371"/>
      <c r="S50" s="1294"/>
      <c r="T50" s="388" t="s">
        <v>641</v>
      </c>
      <c r="U50" s="383"/>
      <c r="V50" s="383"/>
      <c r="W50" s="383"/>
      <c r="X50" s="383"/>
      <c r="Y50" s="383"/>
      <c r="Z50" s="383"/>
      <c r="AA50" s="383"/>
      <c r="AB50" s="382"/>
      <c r="AC50" s="383"/>
      <c r="AD50" s="383"/>
      <c r="AE50" s="383"/>
      <c r="AF50" s="383"/>
      <c r="AG50" s="383"/>
      <c r="AH50" s="383"/>
      <c r="AI50" s="382"/>
      <c r="AJ50" s="383"/>
      <c r="AK50" s="319"/>
      <c r="AM50" s="516"/>
      <c r="AN50" s="516" t="str">
        <f>IF(T50="","",T50)</f>
        <v>Добавить наименование признака дифференциации</v>
      </c>
      <c r="AO50" s="516"/>
      <c r="AP50" s="516"/>
      <c r="AQ50" s="1171">
        <v>21</v>
      </c>
    </row>
    <row s="1658" customFormat="1" customHeight="1" ht="0">
      <c r="A51" s="1359" t="s">
        <v>384</v>
      </c>
      <c r="B51" s="1359" t="s">
        <v>385</v>
      </c>
      <c r="C51" s="1330"/>
      <c r="D51" s="1330"/>
      <c r="E51" s="2275"/>
      <c r="F51" s="2274"/>
      <c r="G51" s="1330"/>
      <c r="H51" s="1330"/>
      <c r="I51" s="1330"/>
      <c r="J51" s="1330"/>
      <c r="K51" s="1330"/>
      <c r="L51" s="1474"/>
      <c r="M51" s="1337"/>
      <c r="N51" s="1337"/>
      <c r="P51" s="1332"/>
      <c r="Q51" s="1333"/>
      <c r="R51" s="1332"/>
      <c r="S51" s="1338"/>
      <c r="T51" s="1341" t="s">
        <v>269</v>
      </c>
      <c r="U51" s="1340"/>
      <c r="V51" s="1340"/>
      <c r="W51" s="1340"/>
      <c r="X51" s="1340"/>
      <c r="Y51" s="1340"/>
      <c r="Z51" s="1340"/>
      <c r="AA51" s="1340"/>
      <c r="AB51" s="1340"/>
      <c r="AC51" s="1340"/>
      <c r="AD51" s="1340"/>
      <c r="AE51" s="1340"/>
      <c r="AF51" s="1340"/>
      <c r="AG51" s="1340"/>
      <c r="AH51" s="1340"/>
      <c r="AI51" s="1340"/>
      <c r="AJ51" s="1340"/>
      <c r="AK51" s="1340"/>
      <c r="AM51" s="805"/>
      <c r="AN51" s="805" t="str">
        <f>IF(T51="","",T51)</f>
        <v>Добавить централизованную систему для дифференциации</v>
      </c>
      <c r="AO51" s="805"/>
      <c r="AP51" s="805"/>
      <c r="AQ51" s="534">
        <v>0</v>
      </c>
    </row>
    <row s="1658" customFormat="1" customHeight="1" ht="0">
      <c r="A52" s="1359" t="s">
        <v>384</v>
      </c>
      <c r="B52" s="1359"/>
      <c r="C52" s="1359"/>
      <c r="D52" s="1359"/>
      <c r="E52" s="2274"/>
      <c r="F52" s="1359"/>
      <c r="G52" s="1359"/>
      <c r="H52" s="1359"/>
      <c r="I52" s="1359"/>
      <c r="J52" s="1359"/>
      <c r="K52" s="1359"/>
      <c r="L52" s="1362"/>
      <c r="M52" s="1337"/>
      <c r="N52" s="1337"/>
      <c r="O52" s="534"/>
      <c r="P52" s="396"/>
      <c r="Q52" s="1360"/>
      <c r="R52" s="396"/>
      <c r="S52" s="1338"/>
      <c r="T52" s="1341" t="s">
        <v>330</v>
      </c>
      <c r="U52" s="1340"/>
      <c r="V52" s="1340"/>
      <c r="W52" s="1340"/>
      <c r="X52" s="1340"/>
      <c r="Y52" s="1340"/>
      <c r="Z52" s="1340"/>
      <c r="AA52" s="1340"/>
      <c r="AB52" s="1340"/>
      <c r="AC52" s="1340"/>
      <c r="AD52" s="1340"/>
      <c r="AE52" s="1340"/>
      <c r="AF52" s="1340"/>
      <c r="AG52" s="1340"/>
      <c r="AH52" s="1340"/>
      <c r="AI52" s="1340"/>
      <c r="AJ52" s="1340"/>
      <c r="AK52" s="1340"/>
      <c r="AM52" s="516"/>
      <c r="AN52" s="516" t="str">
        <f>IF(T52="","",T52)</f>
        <v>Добавить территорию для дифференциации</v>
      </c>
      <c r="AO52" s="516"/>
      <c r="AP52" s="516"/>
      <c r="AQ52" s="527">
        <v>0</v>
      </c>
    </row>
    <row s="1658" customFormat="1" customHeight="1" ht="0">
      <c r="A53" s="1330"/>
      <c r="B53" s="1330"/>
      <c r="C53" s="1330"/>
      <c r="D53" s="1330"/>
      <c r="E53" s="1359"/>
      <c r="F53" s="1330"/>
      <c r="G53" s="1330"/>
      <c r="H53" s="1330"/>
      <c r="I53" s="1330"/>
      <c r="J53" s="1330"/>
      <c r="K53" s="1330"/>
      <c r="L53" s="1474"/>
      <c r="M53" s="1337"/>
      <c r="N53" s="1337"/>
      <c r="P53" s="1332"/>
      <c r="Q53" s="1333"/>
      <c r="R53" s="1332"/>
      <c r="S53" s="1338"/>
      <c r="T53" s="1341" t="s">
        <v>356</v>
      </c>
      <c r="U53" s="1340"/>
      <c r="V53" s="1340"/>
      <c r="W53" s="1340"/>
      <c r="X53" s="1340"/>
      <c r="Y53" s="1340"/>
      <c r="Z53" s="1340"/>
      <c r="AA53" s="1340"/>
      <c r="AB53" s="1340"/>
      <c r="AC53" s="1340"/>
      <c r="AD53" s="1340"/>
      <c r="AE53" s="1340"/>
      <c r="AF53" s="1340"/>
      <c r="AG53" s="1340"/>
      <c r="AH53" s="1340"/>
      <c r="AI53" s="1340"/>
      <c r="AJ53" s="1340"/>
      <c r="AK53" s="1340"/>
      <c r="AM53" s="805"/>
      <c r="AN53" s="805" t="str">
        <f>IF(T53="","",T53)</f>
        <v>Добавить наименование тарифа</v>
      </c>
      <c r="AO53" s="805"/>
      <c r="AP53" s="805"/>
      <c r="AQ53" s="534">
        <v>0</v>
      </c>
    </row>
    <row customHeight="1" ht="11.549999999999999">
      <c r="M54" s="1176"/>
      <c r="N54" s="1176"/>
      <c r="O54" s="553"/>
      <c r="P54" s="1171"/>
      <c r="Q54" s="1171"/>
      <c r="R54" s="1171"/>
      <c r="S54" s="1171"/>
      <c r="AL54" s="1171"/>
      <c r="AM54" s="1171"/>
      <c r="AN54" s="1171"/>
      <c r="AO54" s="1171"/>
      <c r="AP54" s="1171"/>
      <c r="AQ54" s="1171">
        <v>11</v>
      </c>
    </row>
    <row customHeight="1" ht="14.699999999999998">
      <c r="O55" s="553"/>
      <c r="S55" s="1269"/>
      <c r="T55" s="2301"/>
      <c r="U55" s="2301"/>
      <c r="V55" s="2301"/>
      <c r="W55" s="2301"/>
      <c r="X55" s="2301"/>
      <c r="Y55" s="2301"/>
      <c r="Z55" s="2301"/>
      <c r="AA55" s="2301"/>
      <c r="AB55" s="2301"/>
      <c r="AC55" s="2301"/>
      <c r="AD55" s="2301"/>
      <c r="AE55" s="2301"/>
      <c r="AF55" s="2301"/>
      <c r="AG55" s="2301"/>
      <c r="AH55" s="2301"/>
      <c r="AI55" s="2301"/>
      <c r="AJ55" s="2301"/>
      <c r="AK55" s="2301"/>
      <c r="AQ55" s="1171">
        <v>14</v>
      </c>
    </row>
    <row customHeight="1" ht="14.699999999999998">
      <c r="O56" s="553"/>
      <c r="AQ56" s="1171">
        <v>14</v>
      </c>
    </row>
    <row customHeight="1" ht="14.699999999999998">
      <c r="O57" s="553"/>
      <c r="S57" s="1269"/>
      <c r="T57" s="2301"/>
      <c r="U57" s="2301"/>
      <c r="V57" s="2301"/>
      <c r="W57" s="2301"/>
      <c r="X57" s="2301"/>
      <c r="Y57" s="2301"/>
      <c r="Z57" s="2301"/>
      <c r="AA57" s="2301"/>
      <c r="AB57" s="2301"/>
      <c r="AC57" s="2301"/>
      <c r="AD57" s="2301"/>
      <c r="AE57" s="2301"/>
      <c r="AF57" s="2301"/>
      <c r="AG57" s="2301"/>
      <c r="AH57" s="2301"/>
      <c r="AI57" s="2301"/>
      <c r="AJ57" s="2301"/>
      <c r="AK57" s="2301"/>
      <c r="AQ57" s="1171">
        <v>14</v>
      </c>
    </row>
    <row customHeight="1" ht="22.5" hidden="1">
      <c r="A58" s="1176" t="s">
        <v>85</v>
      </c>
      <c r="B58" s="1176">
        <v>0</v>
      </c>
      <c r="C58" s="1176">
        <v>0</v>
      </c>
      <c r="D58" s="1176">
        <v>0</v>
      </c>
      <c r="E58" s="1176">
        <v>0</v>
      </c>
      <c r="F58" s="1176">
        <v>0</v>
      </c>
      <c r="G58" s="1176">
        <v>0</v>
      </c>
      <c r="H58" s="1176">
        <v>0</v>
      </c>
      <c r="I58" s="1176">
        <v>0</v>
      </c>
      <c r="J58" s="1176">
        <v>0</v>
      </c>
      <c r="K58" s="1176">
        <v>0</v>
      </c>
      <c r="L58" s="1463">
        <v>0</v>
      </c>
      <c r="M58" s="1378">
        <v>0</v>
      </c>
      <c r="N58" s="1378">
        <v>0</v>
      </c>
      <c r="O58" s="1378">
        <v>0</v>
      </c>
      <c r="P58" s="1462">
        <v>3</v>
      </c>
      <c r="Q58" s="360">
        <v>3</v>
      </c>
      <c r="R58" s="360">
        <v>3</v>
      </c>
      <c r="S58" s="597">
        <v>12</v>
      </c>
      <c r="T58" s="1171">
        <v>35</v>
      </c>
      <c r="U58" s="1171">
        <v>0</v>
      </c>
      <c r="V58" s="1171">
        <v>0</v>
      </c>
      <c r="W58" s="1171">
        <v>0</v>
      </c>
      <c r="X58" s="1171">
        <v>0</v>
      </c>
      <c r="Y58" s="1171">
        <v>0</v>
      </c>
      <c r="Z58" s="1171">
        <v>0</v>
      </c>
      <c r="AA58" s="1171">
        <v>0</v>
      </c>
      <c r="AB58" s="1171">
        <v>0</v>
      </c>
      <c r="AC58" s="1171">
        <v>24</v>
      </c>
      <c r="AD58" s="1171">
        <v>24</v>
      </c>
      <c r="AE58" s="1171">
        <v>24</v>
      </c>
      <c r="AF58" s="1171">
        <v>11</v>
      </c>
      <c r="AG58" s="1171">
        <v>3</v>
      </c>
      <c r="AH58" s="1171">
        <v>11</v>
      </c>
      <c r="AI58" s="1171">
        <v>0</v>
      </c>
      <c r="AJ58" s="1171">
        <v>4</v>
      </c>
      <c r="AK58" s="1171">
        <v>115</v>
      </c>
      <c r="AL58" s="527">
        <v>10</v>
      </c>
      <c r="AM58" s="527">
        <v>10</v>
      </c>
      <c r="AN58" s="527">
        <v>10</v>
      </c>
      <c r="AO58" s="527">
        <v>10</v>
      </c>
      <c r="AP58" s="527">
        <v>10</v>
      </c>
      <c r="AQ58" s="117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527DC-7716-422C-59A1-B42279B20B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4" style="1651" width="24.7109375" hidden="1" customWidth="1"/>
    <col min="25" max="25" style="1651" width="11.7109375" hidden="1" customWidth="1"/>
    <col min="26" max="26" style="1651" width="3.7109375" hidden="1" customWidth="1"/>
    <col min="27" max="27" style="1651" width="11.7109375" hidden="1" customWidth="1"/>
    <col min="28" max="28" style="1651" width="8.57421875" hidden="1" customWidth="1"/>
    <col min="29" max="29" style="1651" width="24.7109375" customWidth="1"/>
    <col min="30" max="31" style="1651" width="24.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22.5" hidden="1">
      <c r="X1" s="343"/>
      <c r="Y1" s="343"/>
      <c r="AE1" s="343"/>
      <c r="AF1" s="343"/>
      <c r="AQ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473">
        <f>INDEX(PT_DIFFERENTIATION_NUM_NTAR,MATCH(A2,PT_DIFFERENTIATION_NTAR_ID,0))</f>
      </c>
      <c r="T2" s="314" t="s">
        <v>192</v>
      </c>
      <c r="U2" s="316"/>
      <c r="V2" s="2258"/>
      <c r="W2" s="2259"/>
      <c r="X2" s="2259"/>
      <c r="Y2" s="2259"/>
      <c r="Z2" s="2259"/>
      <c r="AA2" s="2259"/>
      <c r="AB2" s="2260"/>
      <c r="AC2" s="2258">
        <f>INDEX(PT_DIFFERENTIATION_NTAR,MATCH(A2,PT_DIFFERENTIATION_NTAR_ID,0))</f>
      </c>
      <c r="AD2" s="2259"/>
      <c r="AE2" s="2259"/>
      <c r="AF2" s="2259"/>
      <c r="AG2" s="2259"/>
      <c r="AH2" s="2259"/>
      <c r="AI2" s="2259"/>
      <c r="AJ2" s="2260"/>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6"/>
      <c r="AN2" s="516" t="str">
        <f>IF(T2="","",T2)</f>
        <v>Наименование тарифа</v>
      </c>
      <c r="AO2" s="516"/>
      <c r="AP2" s="516"/>
      <c r="AQ2" s="1171">
        <v>0</v>
      </c>
    </row>
    <row customHeight="1" ht="23.25" hidden="1">
      <c r="A3" s="1379"/>
      <c r="B3" s="1379"/>
      <c r="C3" s="1379"/>
      <c r="D3" s="1379"/>
      <c r="E3" s="2275"/>
      <c r="F3" s="2274">
        <v>1</v>
      </c>
      <c r="G3" s="1379"/>
      <c r="H3" s="1379"/>
      <c r="I3" s="1379"/>
      <c r="J3" s="1379"/>
      <c r="K3" s="1379"/>
      <c r="L3" s="1380"/>
      <c r="M3" s="1381"/>
      <c r="N3" s="1381"/>
      <c r="O3" s="1381"/>
      <c r="P3" s="1469"/>
      <c r="Q3" s="368"/>
      <c r="R3" s="369"/>
      <c r="S3" s="1473">
        <f>INDEX(PT_DIFFERENTIATION_NUM_TER,MATCH(B3,PT_DIFFERENTIATION_TER_ID,0))</f>
      </c>
      <c r="T3" s="324" t="s">
        <v>550</v>
      </c>
      <c r="U3" s="316"/>
      <c r="V3" s="2258"/>
      <c r="W3" s="2259"/>
      <c r="X3" s="2259"/>
      <c r="Y3" s="2259"/>
      <c r="Z3" s="2259"/>
      <c r="AA3" s="2259"/>
      <c r="AB3" s="2260"/>
      <c r="AC3" s="2258">
        <f>INDEX(PT_DIFFERENTIATION_TER,MATCH(B3,PT_DIFFERENTIATION_TER_ID,0))</f>
      </c>
      <c r="AD3" s="2259"/>
      <c r="AE3" s="2259"/>
      <c r="AF3" s="2259"/>
      <c r="AG3" s="2259"/>
      <c r="AH3" s="2259"/>
      <c r="AI3" s="2259"/>
      <c r="AJ3" s="2260"/>
      <c r="AK3" s="1274" t="s">
        <v>551</v>
      </c>
      <c r="AM3" s="516"/>
      <c r="AN3" s="516" t="str">
        <f>IF(T3="","",T3)</f>
        <v>Территория действия тарифа</v>
      </c>
      <c r="AO3" s="516"/>
      <c r="AP3" s="516"/>
      <c r="AQ3" s="1171">
        <v>0</v>
      </c>
    </row>
    <row customHeight="1" ht="23.25" hidden="1">
      <c r="A4" s="1379"/>
      <c r="B4" s="1379"/>
      <c r="C4" s="1379"/>
      <c r="D4" s="1379"/>
      <c r="E4" s="2275"/>
      <c r="F4" s="2275"/>
      <c r="G4" s="2274">
        <v>1</v>
      </c>
      <c r="H4" s="1379"/>
      <c r="I4" s="1379"/>
      <c r="J4" s="1379"/>
      <c r="K4" s="1379"/>
      <c r="L4" s="1380"/>
      <c r="M4" s="1381"/>
      <c r="N4" s="1381"/>
      <c r="O4" s="1381"/>
      <c r="P4" s="370"/>
      <c r="Q4" s="368"/>
      <c r="R4" s="369"/>
      <c r="S4" s="1473">
        <f>INDEX(PT_DIFFERENTIATION_NUM_CS,MATCH(C4,PT_DIFFERENTIATION_CS_ID,0))</f>
      </c>
      <c r="T4" s="325" t="s">
        <v>634</v>
      </c>
      <c r="U4" s="316"/>
      <c r="V4" s="2258"/>
      <c r="W4" s="2259"/>
      <c r="X4" s="2259"/>
      <c r="Y4" s="2259"/>
      <c r="Z4" s="2259"/>
      <c r="AA4" s="2259"/>
      <c r="AB4" s="2260"/>
      <c r="AC4" s="2258">
        <f>INDEX(PT_DIFFERENTIATION_CS,MATCH(C4,PT_DIFFERENTIATION_CS_ID,0))</f>
      </c>
      <c r="AD4" s="2259"/>
      <c r="AE4" s="2259"/>
      <c r="AF4" s="2259"/>
      <c r="AG4" s="2259"/>
      <c r="AH4" s="2259"/>
      <c r="AI4" s="2259"/>
      <c r="AJ4" s="2260"/>
      <c r="AK4" s="1274" t="s">
        <v>635</v>
      </c>
      <c r="AM4" s="516"/>
      <c r="AN4" s="516" t="str">
        <f>IF(T4="","",T4)</f>
        <v>Наименование централизованной системы холодного водоснабжения</v>
      </c>
      <c r="AO4" s="516"/>
      <c r="AP4" s="516"/>
      <c r="AQ4" s="1171">
        <v>0</v>
      </c>
    </row>
    <row customHeight="1" ht="23.25" hidden="1">
      <c r="A5" s="1379"/>
      <c r="B5" s="1379"/>
      <c r="C5" s="1379"/>
      <c r="D5" s="1379"/>
      <c r="E5" s="2275"/>
      <c r="F5" s="2275"/>
      <c r="G5" s="2275"/>
      <c r="H5" s="2275"/>
      <c r="I5" s="2272">
        <f>S4&amp;".1"</f>
      </c>
      <c r="J5" s="1379"/>
      <c r="K5" s="1379"/>
      <c r="L5" s="1380"/>
      <c r="P5" s="2273">
        <v>1</v>
      </c>
      <c r="Q5" s="1466"/>
      <c r="R5" s="372"/>
      <c r="S5" s="1473">
        <f>$I5</f>
      </c>
      <c r="T5" s="301" t="s">
        <v>636</v>
      </c>
      <c r="U5" s="316"/>
      <c r="V5" s="2366"/>
      <c r="W5" s="2367"/>
      <c r="X5" s="2367"/>
      <c r="Y5" s="2367"/>
      <c r="Z5" s="2367"/>
      <c r="AA5" s="2367"/>
      <c r="AB5" s="2368"/>
      <c r="AC5" s="2369"/>
      <c r="AD5" s="2370"/>
      <c r="AE5" s="2370"/>
      <c r="AF5" s="2370"/>
      <c r="AG5" s="2370"/>
      <c r="AH5" s="2370"/>
      <c r="AI5" s="2370"/>
      <c r="AJ5" s="2371"/>
      <c r="AK5" s="1274" t="s">
        <v>637</v>
      </c>
      <c r="AM5" s="516"/>
      <c r="AN5" s="516" t="str">
        <f>IF(T5="","",T5)</f>
        <v>Наименование признака дифференциации</v>
      </c>
      <c r="AO5" s="516"/>
      <c r="AP5" s="516"/>
      <c r="AQ5" s="1171">
        <v>0</v>
      </c>
    </row>
    <row customHeight="1" ht="23.25" hidden="1">
      <c r="A6" s="1379"/>
      <c r="B6" s="1379"/>
      <c r="C6" s="1379"/>
      <c r="D6" s="1379"/>
      <c r="E6" s="2275"/>
      <c r="F6" s="2275"/>
      <c r="G6" s="2275"/>
      <c r="H6" s="2275"/>
      <c r="I6" s="2302"/>
      <c r="J6" s="2272">
        <f>I5&amp;".1"</f>
      </c>
      <c r="K6" s="1379"/>
      <c r="L6" s="1380" t="s">
        <v>559</v>
      </c>
      <c r="P6" s="2273"/>
      <c r="Q6" s="2273">
        <v>1</v>
      </c>
      <c r="R6" s="373"/>
      <c r="S6" s="1473">
        <f>$J6</f>
      </c>
      <c r="T6" s="302" t="s">
        <v>560</v>
      </c>
      <c r="U6" s="316"/>
      <c r="V6" s="2261"/>
      <c r="W6" s="2262"/>
      <c r="X6" s="2262"/>
      <c r="Y6" s="2262"/>
      <c r="Z6" s="2262"/>
      <c r="AA6" s="2262"/>
      <c r="AB6" s="2263"/>
      <c r="AC6" s="2261"/>
      <c r="AD6" s="2262"/>
      <c r="AE6" s="2262"/>
      <c r="AF6" s="2262"/>
      <c r="AG6" s="2262"/>
      <c r="AH6" s="2262"/>
      <c r="AI6" s="2262"/>
      <c r="AJ6" s="2263"/>
      <c r="AK6" s="1323" t="s">
        <v>638</v>
      </c>
      <c r="AM6" s="516"/>
      <c r="AN6" s="516" t="str">
        <f>IF(T6="","",T6)</f>
        <v>Группа потребителей</v>
      </c>
      <c r="AO6" s="516"/>
      <c r="AP6" s="516"/>
      <c r="AQ6" s="1171">
        <v>0</v>
      </c>
    </row>
    <row customHeight="1" ht="23.25" hidden="1">
      <c r="A7" s="1379"/>
      <c r="B7" s="1379"/>
      <c r="C7" s="1379"/>
      <c r="D7" s="1379"/>
      <c r="E7" s="2275"/>
      <c r="F7" s="2275"/>
      <c r="G7" s="2275"/>
      <c r="H7" s="2275"/>
      <c r="I7" s="2302"/>
      <c r="J7" s="2302"/>
      <c r="K7" s="2272">
        <f>J6&amp;".1"</f>
      </c>
      <c r="L7" s="1380"/>
      <c r="P7" s="2273"/>
      <c r="Q7" s="2273"/>
      <c r="R7" s="373">
        <v>1</v>
      </c>
      <c r="S7" s="1473">
        <f>$K7</f>
      </c>
      <c r="T7" s="1453"/>
      <c r="U7" s="316"/>
      <c r="V7" s="767"/>
      <c r="W7" s="767"/>
      <c r="X7" s="1273"/>
      <c r="Y7" s="2281"/>
      <c r="Z7" s="2123" t="s">
        <v>64</v>
      </c>
      <c r="AA7" s="2281"/>
      <c r="AB7" s="2123" t="s">
        <v>64</v>
      </c>
      <c r="AC7" s="767"/>
      <c r="AD7" s="767"/>
      <c r="AE7" s="1273"/>
      <c r="AF7" s="2281"/>
      <c r="AG7" s="2123" t="s">
        <v>64</v>
      </c>
      <c r="AH7" s="2303"/>
      <c r="AI7" s="2123" t="s">
        <v>64</v>
      </c>
      <c r="AJ7" s="1454"/>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7">
        <f>STRCHECKDATE(V8:AJ8)</f>
      </c>
      <c r="AM7" s="516"/>
      <c r="AN7" s="516" t="str">
        <f>IF(T7="","",T7)</f>
        <v/>
      </c>
      <c r="AO7" s="516"/>
      <c r="AP7" s="516"/>
      <c r="AQ7" s="1171">
        <v>0</v>
      </c>
    </row>
    <row customHeight="1" ht="14.25" hidden="1">
      <c r="A8" s="1379"/>
      <c r="B8" s="1379"/>
      <c r="C8" s="1379"/>
      <c r="D8" s="1379"/>
      <c r="E8" s="2275"/>
      <c r="F8" s="2275"/>
      <c r="G8" s="2275"/>
      <c r="H8" s="2275"/>
      <c r="I8" s="2302"/>
      <c r="J8" s="2302"/>
      <c r="K8" s="2272"/>
      <c r="L8" s="1380"/>
      <c r="P8" s="2273"/>
      <c r="Q8" s="2273"/>
      <c r="R8" s="373"/>
      <c r="S8" s="1472"/>
      <c r="T8" s="316"/>
      <c r="U8" s="316"/>
      <c r="V8" s="341"/>
      <c r="W8" s="341"/>
      <c r="X8" s="344" t="str">
        <f>Y7&amp;"-"&amp;AA7</f>
        <v>-</v>
      </c>
      <c r="Y8" s="2282"/>
      <c r="Z8" s="2123"/>
      <c r="AA8" s="2282"/>
      <c r="AB8" s="2123"/>
      <c r="AC8" s="341"/>
      <c r="AD8" s="341"/>
      <c r="AE8" s="344" t="str">
        <f>AF7&amp;"-"&amp;AH7</f>
        <v>-</v>
      </c>
      <c r="AF8" s="2282"/>
      <c r="AG8" s="2123"/>
      <c r="AH8" s="2304"/>
      <c r="AI8" s="2123"/>
      <c r="AJ8" s="1455"/>
      <c r="AK8" s="2365"/>
      <c r="AM8" s="516"/>
      <c r="AN8" s="516" t="str">
        <f>IF(T8="","",T8)</f>
        <v/>
      </c>
      <c r="AO8" s="516"/>
      <c r="AP8" s="516"/>
      <c r="AQ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383"/>
      <c r="X9" s="383"/>
      <c r="Y9" s="383"/>
      <c r="Z9" s="383"/>
      <c r="AA9" s="383"/>
      <c r="AB9" s="383"/>
      <c r="AC9" s="383"/>
      <c r="AD9" s="383"/>
      <c r="AE9" s="383"/>
      <c r="AF9" s="383"/>
      <c r="AG9" s="383"/>
      <c r="AH9" s="383"/>
      <c r="AI9" s="383"/>
      <c r="AJ9" s="383"/>
      <c r="AK9" s="1274" t="s">
        <v>640</v>
      </c>
      <c r="AM9" s="516"/>
      <c r="AN9" s="516" t="str">
        <f>IF(T9="","",T9)</f>
        <v>Добавить значение признака дифференциации</v>
      </c>
      <c r="AO9" s="516"/>
      <c r="AP9" s="516"/>
      <c r="AQ9" s="1171">
        <v>0</v>
      </c>
    </row>
    <row customHeight="1" ht="21" hidden="1">
      <c r="A10" s="1379"/>
      <c r="B10" s="1379"/>
      <c r="C10" s="1379"/>
      <c r="D10" s="1379"/>
      <c r="E10" s="2275"/>
      <c r="F10" s="2275"/>
      <c r="G10" s="2275"/>
      <c r="H10" s="2275"/>
      <c r="I10" s="2272"/>
      <c r="J10" s="1379"/>
      <c r="K10" s="1379"/>
      <c r="L10" s="1380"/>
      <c r="P10" s="2273"/>
      <c r="Q10" s="1466"/>
      <c r="R10" s="372"/>
      <c r="S10" s="1294"/>
      <c r="T10" s="381" t="s">
        <v>565</v>
      </c>
      <c r="U10" s="383"/>
      <c r="V10" s="383"/>
      <c r="W10" s="383"/>
      <c r="X10" s="383"/>
      <c r="Y10" s="383"/>
      <c r="Z10" s="383"/>
      <c r="AA10" s="383"/>
      <c r="AB10" s="382"/>
      <c r="AC10" s="383"/>
      <c r="AD10" s="383"/>
      <c r="AE10" s="383"/>
      <c r="AF10" s="383"/>
      <c r="AG10" s="383"/>
      <c r="AH10" s="383"/>
      <c r="AI10" s="382"/>
      <c r="AJ10" s="383"/>
      <c r="AK10" s="1456"/>
      <c r="AM10" s="516"/>
      <c r="AN10" s="516" t="str">
        <f>IF(T10="","",T10)</f>
        <v>Добавить группу потребителей</v>
      </c>
      <c r="AO10" s="516"/>
      <c r="AP10" s="516"/>
      <c r="AQ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383"/>
      <c r="X11" s="383"/>
      <c r="Y11" s="383"/>
      <c r="Z11" s="383"/>
      <c r="AA11" s="383"/>
      <c r="AB11" s="382"/>
      <c r="AC11" s="383"/>
      <c r="AD11" s="383"/>
      <c r="AE11" s="383"/>
      <c r="AF11" s="383"/>
      <c r="AG11" s="383"/>
      <c r="AH11" s="383"/>
      <c r="AI11" s="382"/>
      <c r="AJ11" s="383"/>
      <c r="AK11" s="319"/>
      <c r="AM11" s="516"/>
      <c r="AN11" s="516" t="str">
        <f>IF(T11="","",T11)</f>
        <v>Добавить наименование признака дифференциации</v>
      </c>
      <c r="AO11" s="516"/>
      <c r="AP11" s="516"/>
      <c r="AQ11" s="1171">
        <v>0</v>
      </c>
    </row>
    <row s="1658" customFormat="1" customHeight="1" ht="14.25" hidden="1">
      <c r="A12" s="1359"/>
      <c r="B12" s="1359"/>
      <c r="C12" s="1330"/>
      <c r="D12" s="1330"/>
      <c r="E12" s="2275"/>
      <c r="F12" s="2274"/>
      <c r="G12" s="1330"/>
      <c r="H12" s="1330"/>
      <c r="I12" s="1330"/>
      <c r="J12" s="1330"/>
      <c r="K12" s="1330"/>
      <c r="L12" s="1474"/>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M12" s="805"/>
      <c r="AN12" s="805" t="str">
        <f>IF(T12="","",T12)</f>
        <v>Добавить централизованную систему для дифференциации</v>
      </c>
      <c r="AO12" s="805"/>
      <c r="AP12" s="805"/>
      <c r="AQ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M13" s="516"/>
      <c r="AN13" s="516" t="str">
        <f>IF(T13="","",T13)</f>
        <v>Добавить территорию для дифференциации</v>
      </c>
      <c r="AO13" s="516"/>
      <c r="AP13" s="516"/>
      <c r="AQ13" s="527">
        <v>0</v>
      </c>
    </row>
    <row customHeight="1" ht="14.25" hidden="1">
      <c r="AB14" s="343"/>
      <c r="AI14" s="343"/>
      <c r="AQ14" s="1171">
        <v>0</v>
      </c>
    </row>
    <row customHeight="1" ht="14.25" hidden="1">
      <c r="AC15" s="1376"/>
      <c r="AD15" s="1376"/>
      <c r="AE15" s="1377"/>
      <c r="AF15" s="2283"/>
      <c r="AG15" s="2284" t="s">
        <v>64</v>
      </c>
      <c r="AH15" s="2283"/>
      <c r="AI15" s="2284" t="s">
        <v>64</v>
      </c>
      <c r="AQ15" s="1171">
        <v>0</v>
      </c>
    </row>
    <row customHeight="1" ht="14.25" hidden="1">
      <c r="AC16" s="1376"/>
      <c r="AD16" s="1376"/>
      <c r="AE16" s="344" t="str">
        <f>AF15&amp;"-"&amp;AH15</f>
        <v>-</v>
      </c>
      <c r="AF16" s="2284"/>
      <c r="AG16" s="2284"/>
      <c r="AH16" s="2284"/>
      <c r="AI16" s="2284"/>
      <c r="AQ16" s="1171">
        <v>0</v>
      </c>
    </row>
    <row customHeight="1" ht="14.25" hidden="1">
      <c r="AI17" s="343"/>
      <c r="AQ17" s="1171">
        <v>0</v>
      </c>
    </row>
    <row s="1382" customFormat="1" customHeight="1" ht="22.5" hidden="1">
      <c r="L18" s="1463"/>
      <c r="M18" s="1378"/>
      <c r="N18" s="1378"/>
      <c r="O18" s="1383" t="s">
        <v>567</v>
      </c>
      <c r="P18" s="1378"/>
      <c r="Q18" s="1387"/>
      <c r="R18" s="1387"/>
      <c r="S18" s="745"/>
      <c r="Y18" s="1383"/>
      <c r="AA18" s="1383"/>
      <c r="AB18" s="1382"/>
      <c r="AF18" s="1383"/>
      <c r="AH18" s="1383"/>
      <c r="AI18" s="1382"/>
      <c r="AL18" s="527"/>
      <c r="AM18" s="527"/>
      <c r="AN18" s="527"/>
      <c r="AO18" s="527"/>
      <c r="AP18" s="527"/>
      <c r="AQ18" s="1176">
        <v>0</v>
      </c>
    </row>
    <row s="1382" customFormat="1" customHeight="1" ht="14.25" hidden="1">
      <c r="L19" s="1463"/>
      <c r="M19" s="1378"/>
      <c r="N19" s="1378"/>
      <c r="O19" s="1378"/>
      <c r="P19" s="1378"/>
      <c r="Q19" s="1387"/>
      <c r="R19" s="1387"/>
      <c r="S19" s="745"/>
      <c r="AB19" s="1382"/>
      <c r="AI19" s="1382"/>
      <c r="AL19" s="527"/>
      <c r="AM19" s="527"/>
      <c r="AN19" s="527"/>
      <c r="AO19" s="527"/>
      <c r="AP19" s="527"/>
      <c r="AQ19" s="1176">
        <v>0</v>
      </c>
    </row>
    <row s="1382" customFormat="1" customHeight="1" ht="12" hidden="1">
      <c r="L20" s="1463"/>
      <c r="M20" s="1378"/>
      <c r="N20" s="1378"/>
      <c r="O20" s="1380" t="s">
        <v>568</v>
      </c>
      <c r="P20" s="1378"/>
      <c r="Q20" s="1458"/>
      <c r="R20" s="1458"/>
      <c r="S20" s="745"/>
      <c r="T20" s="1176" t="s">
        <v>569</v>
      </c>
      <c r="Z20" s="202" t="s">
        <v>570</v>
      </c>
      <c r="AB20" s="202" t="s">
        <v>571</v>
      </c>
      <c r="AC20" s="1176" t="s">
        <v>569</v>
      </c>
      <c r="AG20" s="202" t="s">
        <v>572</v>
      </c>
      <c r="AI20" s="202" t="s">
        <v>571</v>
      </c>
      <c r="AQ20" s="1176">
        <v>0</v>
      </c>
    </row>
    <row customHeight="1" ht="14.25" hidden="1">
      <c r="O21" s="1380"/>
      <c r="AQ21" s="1171">
        <v>0</v>
      </c>
    </row>
    <row customHeight="1" ht="14.25" hidden="1">
      <c r="O22" s="1380"/>
      <c r="AQ22" s="1171">
        <v>0</v>
      </c>
    </row>
    <row customHeight="1" ht="14.699999999999998">
      <c r="Q23" s="392"/>
      <c r="R23" s="392"/>
      <c r="S23" s="1291"/>
      <c r="T23" s="379"/>
      <c r="U23" s="379"/>
      <c r="V23" s="525"/>
      <c r="W23" s="525"/>
      <c r="X23" s="525"/>
      <c r="Y23" s="525"/>
      <c r="Z23" s="525"/>
      <c r="AA23" s="525"/>
      <c r="AB23" s="525"/>
      <c r="AC23" s="525"/>
      <c r="AD23" s="525"/>
      <c r="AE23" s="525"/>
      <c r="AF23" s="525"/>
      <c r="AG23" s="525"/>
      <c r="AH23" s="525"/>
      <c r="AI23" s="525"/>
      <c r="AQ23" s="1171">
        <v>14</v>
      </c>
    </row>
    <row customHeight="1" ht="14.699999999999998">
      <c r="Q24" s="392"/>
      <c r="R24" s="392"/>
      <c r="S24" s="226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4"/>
      <c r="U24" s="2264"/>
      <c r="V24" s="2264"/>
      <c r="W24" s="2264"/>
      <c r="X24" s="2264"/>
      <c r="Y24" s="2264"/>
      <c r="Z24" s="2264"/>
      <c r="AA24" s="2264"/>
      <c r="AB24" s="2264"/>
      <c r="AC24" s="2264"/>
      <c r="AD24" s="2264"/>
      <c r="AE24" s="2264"/>
      <c r="AF24" s="2264"/>
      <c r="AG24" s="2264"/>
      <c r="AH24" s="2264"/>
      <c r="AI24" s="1259"/>
      <c r="AQ24" s="1171">
        <v>14</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525"/>
      <c r="AQ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342"/>
      <c r="AC27" s="2267" t="str">
        <f>IF(TITLE_NAME_OR_PR_CHANGE="",IF(TITLE_NAME_OR_PR="","",TITLE_NAME_OR_PR),TITLE_NAME_OR_PR_CHANGE)</f>
        <v>Агентство по тарифам Приморского края</v>
      </c>
      <c r="AD27" s="2267"/>
      <c r="AE27" s="2267"/>
      <c r="AF27" s="2267"/>
      <c r="AG27" s="2267"/>
      <c r="AH27" s="2267"/>
      <c r="AI27" s="342"/>
      <c r="AJ27" s="342"/>
      <c r="AK27" s="296"/>
      <c r="AL27" s="384"/>
      <c r="AM27" s="384"/>
      <c r="AN27" s="384"/>
      <c r="AO27" s="384"/>
      <c r="AP27" s="384"/>
      <c r="AQ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342"/>
      <c r="AC28" s="2280" t="str">
        <f>IF(TITLE_DATE_PR_CHANGE="",IF(TITLE_DATE_PR="","",TITLE_DATE_PR),TITLE_DATE_PR_CHANGE)</f>
        <v>45910</v>
      </c>
      <c r="AD28" s="2280"/>
      <c r="AE28" s="2280"/>
      <c r="AF28" s="2280"/>
      <c r="AG28" s="2280"/>
      <c r="AH28" s="2280"/>
      <c r="AI28" s="342"/>
      <c r="AJ28" s="342"/>
      <c r="AK28" s="296"/>
      <c r="AL28" s="384"/>
      <c r="AM28" s="384"/>
      <c r="AN28" s="384"/>
      <c r="AO28" s="384"/>
      <c r="AP28" s="384"/>
      <c r="AQ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342"/>
      <c r="AC29" s="2267" t="str">
        <f>IF(TITLE_NUMBER_PR_CHANGE="",IF(TITLE_NUMBER_PR="","",TITLE_NUMBER_PR),TITLE_NUMBER_PR_CHANGE)</f>
        <v>37/2</v>
      </c>
      <c r="AD29" s="2267"/>
      <c r="AE29" s="2267"/>
      <c r="AF29" s="2267"/>
      <c r="AG29" s="2267"/>
      <c r="AH29" s="2267"/>
      <c r="AI29" s="342"/>
      <c r="AJ29" s="342"/>
      <c r="AK29" s="296"/>
      <c r="AL29" s="384"/>
      <c r="AM29" s="384"/>
      <c r="AN29" s="384"/>
      <c r="AO29" s="384"/>
      <c r="AP29" s="384"/>
      <c r="AQ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342"/>
      <c r="AC30" s="2267" t="str">
        <f>IF(TITLE_IST_PUB_CHANGE="",IF(TITLE_IST_PUB="","",TITLE_IST_PUB),TITLE_IST_PUB_CHANGE)</f>
        <v>http://pravo.gov.ru</v>
      </c>
      <c r="AD30" s="2267"/>
      <c r="AE30" s="2267"/>
      <c r="AF30" s="2267"/>
      <c r="AG30" s="2267"/>
      <c r="AH30" s="2267"/>
      <c r="AI30" s="342"/>
      <c r="AJ30" s="342"/>
      <c r="AK30" s="296"/>
      <c r="AL30" s="384"/>
      <c r="AM30" s="384"/>
      <c r="AN30" s="384"/>
      <c r="AO30" s="384"/>
      <c r="AP30" s="384"/>
      <c r="AQ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525"/>
      <c r="AQ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342"/>
      <c r="AC32" s="2280" t="str">
        <f>IF(TITLE_DATE_PR_CHANGE="",IF(TITLE_DATE_PR="","",TITLE_DATE_PR),TITLE_DATE_PR_CHANGE)</f>
        <v>45910</v>
      </c>
      <c r="AD32" s="2280"/>
      <c r="AE32" s="2280"/>
      <c r="AF32" s="2280"/>
      <c r="AG32" s="2280"/>
      <c r="AH32" s="2280"/>
      <c r="AI32" s="342"/>
      <c r="AJ32" s="342"/>
      <c r="AK32" s="296"/>
      <c r="AL32" s="384"/>
      <c r="AM32" s="384"/>
      <c r="AN32" s="384"/>
      <c r="AO32" s="384"/>
      <c r="AP32" s="384"/>
      <c r="AQ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342"/>
      <c r="AC33" s="2267" t="str">
        <f>IF(TITLE_NUMBER_PR_CHANGE="",IF(TITLE_NUMBER_PR="","",TITLE_NUMBER_PR),TITLE_NUMBER_PR_CHANGE)</f>
        <v>37/2</v>
      </c>
      <c r="AD33" s="2267"/>
      <c r="AE33" s="2267"/>
      <c r="AF33" s="2267"/>
      <c r="AG33" s="2267"/>
      <c r="AH33" s="2267"/>
      <c r="AI33" s="342"/>
      <c r="AJ33" s="342"/>
      <c r="AK33" s="296"/>
      <c r="AL33" s="384"/>
      <c r="AM33" s="384"/>
      <c r="AN33" s="384"/>
      <c r="AO33" s="384"/>
      <c r="AP33" s="384"/>
      <c r="AQ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470"/>
      <c r="V34" s="342"/>
      <c r="W34" s="342"/>
      <c r="X34" s="342"/>
      <c r="Y34" s="342"/>
      <c r="Z34" s="342"/>
      <c r="AA34" s="342"/>
      <c r="AB34" s="294" t="s">
        <v>577</v>
      </c>
      <c r="AC34" s="342"/>
      <c r="AD34" s="342"/>
      <c r="AE34" s="342"/>
      <c r="AF34" s="342"/>
      <c r="AG34" s="342"/>
      <c r="AH34" s="342"/>
      <c r="AI34" s="294" t="s">
        <v>577</v>
      </c>
      <c r="AL34" s="384"/>
      <c r="AM34" s="384"/>
      <c r="AN34" s="384"/>
      <c r="AO34" s="384"/>
      <c r="AP34" s="384"/>
      <c r="AQ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Q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t="s">
        <v>454</v>
      </c>
      <c r="AQ36" s="1171">
        <v>14</v>
      </c>
    </row>
    <row customHeight="1" ht="14.699999999999998">
      <c r="Q37" s="392"/>
      <c r="R37" s="392"/>
      <c r="S37" s="2289" t="s">
        <v>91</v>
      </c>
      <c r="T37" s="2225" t="s">
        <v>578</v>
      </c>
      <c r="U37" s="317"/>
      <c r="V37" s="2290" t="s">
        <v>579</v>
      </c>
      <c r="W37" s="2291"/>
      <c r="X37" s="2291"/>
      <c r="Y37" s="2291"/>
      <c r="Z37" s="2291"/>
      <c r="AA37" s="2292"/>
      <c r="AB37" s="2293" t="s">
        <v>580</v>
      </c>
      <c r="AC37" s="2290" t="s">
        <v>579</v>
      </c>
      <c r="AD37" s="2291"/>
      <c r="AE37" s="2291"/>
      <c r="AF37" s="2291"/>
      <c r="AG37" s="2291"/>
      <c r="AH37" s="2292"/>
      <c r="AI37" s="2293" t="s">
        <v>581</v>
      </c>
      <c r="AJ37" s="2296" t="s">
        <v>582</v>
      </c>
      <c r="AK37" s="2143"/>
      <c r="AQ37" s="1171">
        <v>14</v>
      </c>
    </row>
    <row customHeight="1" ht="35.699999999999996">
      <c r="Q38" s="392"/>
      <c r="R38" s="392"/>
      <c r="S38" s="2289"/>
      <c r="T38" s="2225"/>
      <c r="U38" s="1047"/>
      <c r="V38" s="1468" t="s">
        <v>642</v>
      </c>
      <c r="W38" s="2278" t="s">
        <v>585</v>
      </c>
      <c r="X38" s="2279"/>
      <c r="Y38" s="2278" t="s">
        <v>586</v>
      </c>
      <c r="Z38" s="2285"/>
      <c r="AA38" s="2279"/>
      <c r="AB38" s="2294"/>
      <c r="AC38" s="1468" t="s">
        <v>642</v>
      </c>
      <c r="AD38" s="2278" t="s">
        <v>585</v>
      </c>
      <c r="AE38" s="2279"/>
      <c r="AF38" s="2278" t="s">
        <v>586</v>
      </c>
      <c r="AG38" s="2285"/>
      <c r="AH38" s="2279"/>
      <c r="AI38" s="2294"/>
      <c r="AJ38" s="2297"/>
      <c r="AK38" s="2143"/>
      <c r="AQ38" s="1171">
        <v>34</v>
      </c>
    </row>
    <row customHeight="1" ht="35.699999999999996">
      <c r="A39" s="1386"/>
      <c r="B39" s="1386" t="s">
        <v>204</v>
      </c>
      <c r="C39" s="1386" t="s">
        <v>205</v>
      </c>
      <c r="D39" s="1386" t="s">
        <v>206</v>
      </c>
      <c r="E39" s="1380" t="s">
        <v>587</v>
      </c>
      <c r="F39" s="1380" t="s">
        <v>588</v>
      </c>
      <c r="G39" s="1380" t="s">
        <v>589</v>
      </c>
      <c r="H39" s="1380"/>
      <c r="I39" s="1380" t="s">
        <v>643</v>
      </c>
      <c r="J39" s="1380" t="s">
        <v>592</v>
      </c>
      <c r="K39" s="1380" t="s">
        <v>644</v>
      </c>
      <c r="L39" s="1380" t="s">
        <v>568</v>
      </c>
      <c r="Q39" s="392"/>
      <c r="R39" s="392"/>
      <c r="S39" s="2289"/>
      <c r="T39" s="2225"/>
      <c r="U39" s="318"/>
      <c r="V39" s="1468" t="s">
        <v>645</v>
      </c>
      <c r="W39" s="1238" t="s">
        <v>646</v>
      </c>
      <c r="X39" s="1238" t="s">
        <v>647</v>
      </c>
      <c r="Y39" s="1471" t="s">
        <v>596</v>
      </c>
      <c r="Z39" s="2286" t="s">
        <v>597</v>
      </c>
      <c r="AA39" s="2287"/>
      <c r="AB39" s="2295"/>
      <c r="AC39" s="1468" t="s">
        <v>645</v>
      </c>
      <c r="AD39" s="1238" t="s">
        <v>646</v>
      </c>
      <c r="AE39" s="1238" t="s">
        <v>647</v>
      </c>
      <c r="AF39" s="1471" t="s">
        <v>596</v>
      </c>
      <c r="AG39" s="2286" t="s">
        <v>597</v>
      </c>
      <c r="AH39" s="2287"/>
      <c r="AI39" s="2295"/>
      <c r="AJ39" s="2298"/>
      <c r="AK39" s="2143"/>
      <c r="AQ39" s="1171">
        <v>34</v>
      </c>
    </row>
    <row s="1657" customFormat="1" customHeight="1" ht="0">
      <c r="A40" s="1386"/>
      <c r="B40" s="1386"/>
      <c r="C40" s="1386"/>
      <c r="D40" s="1386"/>
      <c r="E40" s="1386"/>
      <c r="F40" s="1386"/>
      <c r="G40" s="1386"/>
      <c r="H40" s="1386"/>
      <c r="I40" s="1386"/>
      <c r="J40" s="1386"/>
      <c r="K40" s="1386"/>
      <c r="L40" s="1380"/>
      <c r="M40" s="1378"/>
      <c r="N40" s="1378"/>
      <c r="O40" s="1378"/>
      <c r="P40" s="1262"/>
      <c r="Q40" s="1263"/>
      <c r="R40" s="1270">
        <v>1</v>
      </c>
      <c r="S40" s="1293" t="s">
        <v>141</v>
      </c>
      <c r="T40" s="1271" t="s">
        <v>107</v>
      </c>
      <c r="U40" s="1261" t="str">
        <f>OFFSET(U40,0,-1)</f>
        <v>2</v>
      </c>
      <c r="V40" s="1467">
        <f>OFFSET(V40,0,-1)+1</f>
        <v>3</v>
      </c>
      <c r="W40" s="1467">
        <f>OFFSET(W40,0,-1)+1</f>
        <v>4</v>
      </c>
      <c r="X40" s="1467">
        <f>OFFSET(X40,0,-1)+1</f>
        <v>5</v>
      </c>
      <c r="Y40" s="1467">
        <f>OFFSET(Y40,0,-1)+1</f>
        <v>6</v>
      </c>
      <c r="Z40" s="2288">
        <f>OFFSET(Z40,0,-1)+1</f>
        <v>7</v>
      </c>
      <c r="AA40" s="2288"/>
      <c r="AB40" s="1467">
        <f>OFFSET(AB40,0,-2)+1</f>
        <v>8</v>
      </c>
      <c r="AC40" s="1467">
        <f>OFFSET(AC40,0,-1)+1</f>
        <v>9</v>
      </c>
      <c r="AD40" s="1467">
        <f>OFFSET(AD40,0,-1)+1</f>
        <v>10</v>
      </c>
      <c r="AE40" s="1467">
        <f>OFFSET(AE40,0,-1)+1</f>
        <v>11</v>
      </c>
      <c r="AF40" s="1467">
        <f>OFFSET(AF40,0,-1)+1</f>
        <v>12</v>
      </c>
      <c r="AG40" s="2288">
        <f>OFFSET(AG40,0,-1)+1</f>
        <v>13</v>
      </c>
      <c r="AH40" s="2288"/>
      <c r="AI40" s="1467">
        <f>OFFSET(AI40,0,-2)+1</f>
        <v>14</v>
      </c>
      <c r="AJ40" s="1261">
        <f>OFFSET(AJ40,0,-1)</f>
        <v>14</v>
      </c>
      <c r="AK40" s="1467">
        <f>OFFSET(AK40,0,-1)+1</f>
        <v>15</v>
      </c>
      <c r="AL40" s="527"/>
      <c r="AM40" s="527"/>
      <c r="AN40" s="527"/>
      <c r="AO40" s="527"/>
      <c r="AP40" s="527"/>
      <c r="AQ40" s="512">
        <v>0</v>
      </c>
    </row>
    <row customHeight="1" ht="24">
      <c r="A41" s="1379" t="s">
        <v>389</v>
      </c>
      <c r="B41" s="1379"/>
      <c r="C41" s="1379"/>
      <c r="D41" s="1379"/>
      <c r="E41" s="2274">
        <v>1</v>
      </c>
      <c r="F41" s="1379"/>
      <c r="G41" s="1379"/>
      <c r="H41" s="1379"/>
      <c r="I41" s="1379"/>
      <c r="J41" s="1379"/>
      <c r="K41" s="1379"/>
      <c r="L41" s="1380"/>
      <c r="M41" s="1381"/>
      <c r="N41" s="1381"/>
      <c r="O41" s="1381"/>
      <c r="P41" s="377"/>
      <c r="Q41" s="376"/>
      <c r="R41" s="371"/>
      <c r="S41" s="1473">
        <f>INDEX(PT_DIFFERENTIATION_NUM_NTAR,MATCH(A41,PT_DIFFERENTIATION_NTAR_ID,0))</f>
        <v>0</v>
      </c>
      <c r="T41" s="314" t="s">
        <v>192</v>
      </c>
      <c r="U41" s="316"/>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6"/>
      <c r="AN41" s="516" t="str">
        <f>IF(T41="","",T41)</f>
        <v>Наименование тарифа</v>
      </c>
      <c r="AO41" s="516"/>
      <c r="AP41" s="516"/>
      <c r="AQ41" s="1171">
        <v>23</v>
      </c>
    </row>
    <row customHeight="1" ht="24">
      <c r="A42" s="1379" t="s">
        <v>389</v>
      </c>
      <c r="B42" s="1379" t="s">
        <v>390</v>
      </c>
      <c r="C42" s="1379"/>
      <c r="D42" s="1379"/>
      <c r="E42" s="2275"/>
      <c r="F42" s="2274">
        <v>1</v>
      </c>
      <c r="G42" s="1379"/>
      <c r="H42" s="1379"/>
      <c r="I42" s="1379"/>
      <c r="J42" s="1379"/>
      <c r="K42" s="1379"/>
      <c r="L42" s="1380"/>
      <c r="M42" s="1381"/>
      <c r="N42" s="1381"/>
      <c r="O42" s="1381"/>
      <c r="P42" s="1469"/>
      <c r="Q42" s="368"/>
      <c r="R42" s="369"/>
      <c r="S42" s="1473" t="str">
        <f>INDEX(PT_DIFFERENTIATION_NUM_TER,MATCH(B42,PT_DIFFERENTIATION_TER_ID,0))</f>
        <v>.</v>
      </c>
      <c r="T42" s="324" t="s">
        <v>550</v>
      </c>
      <c r="U42" s="316"/>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74" t="s">
        <v>551</v>
      </c>
      <c r="AM42" s="516"/>
      <c r="AN42" s="516" t="str">
        <f>IF(T42="","",T42)</f>
        <v>Территория действия тарифа</v>
      </c>
      <c r="AO42" s="516"/>
      <c r="AP42" s="516"/>
      <c r="AQ42" s="1171">
        <v>23</v>
      </c>
    </row>
    <row customHeight="1" ht="24">
      <c r="A43" s="1379" t="s">
        <v>389</v>
      </c>
      <c r="B43" s="1379" t="s">
        <v>390</v>
      </c>
      <c r="C43" s="1379" t="s">
        <v>391</v>
      </c>
      <c r="D43" s="1379"/>
      <c r="E43" s="2275"/>
      <c r="F43" s="2275"/>
      <c r="G43" s="2274">
        <v>1</v>
      </c>
      <c r="H43" s="1379"/>
      <c r="I43" s="1379"/>
      <c r="J43" s="1379"/>
      <c r="K43" s="1379"/>
      <c r="L43" s="1380"/>
      <c r="M43" s="1381"/>
      <c r="N43" s="1381"/>
      <c r="O43" s="1381"/>
      <c r="P43" s="370"/>
      <c r="Q43" s="368"/>
      <c r="R43" s="369"/>
      <c r="S43" s="1473" t="str">
        <f>INDEX(PT_DIFFERENTIATION_NUM_CS,MATCH(C43,PT_DIFFERENTIATION_CS_ID,0))</f>
        <v>..</v>
      </c>
      <c r="T43" s="325" t="s">
        <v>634</v>
      </c>
      <c r="U43" s="316"/>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74" t="s">
        <v>635</v>
      </c>
      <c r="AM43" s="516"/>
      <c r="AN43" s="516" t="str">
        <f>IF(T43="","",T43)</f>
        <v>Наименование централизованной системы холодного водоснабжения</v>
      </c>
      <c r="AO43" s="516"/>
      <c r="AP43" s="516"/>
      <c r="AQ43" s="1171">
        <v>23</v>
      </c>
    </row>
    <row customHeight="1" ht="24">
      <c r="A44" s="1379" t="s">
        <v>389</v>
      </c>
      <c r="B44" s="1379" t="s">
        <v>390</v>
      </c>
      <c r="C44" s="1379" t="s">
        <v>391</v>
      </c>
      <c r="D44" s="1379" t="s">
        <v>650</v>
      </c>
      <c r="E44" s="2275"/>
      <c r="F44" s="2275"/>
      <c r="G44" s="2275"/>
      <c r="H44" s="2275"/>
      <c r="I44" s="2272" t="str">
        <f>S43&amp;".1"</f>
        <v>...1</v>
      </c>
      <c r="J44" s="1379"/>
      <c r="K44" s="1379"/>
      <c r="L44" s="1380"/>
      <c r="P44" s="2273">
        <v>1</v>
      </c>
      <c r="Q44" s="1466"/>
      <c r="R44" s="372"/>
      <c r="S44" s="1473" t="str">
        <f>$I44</f>
        <v>...1</v>
      </c>
      <c r="T44" s="301" t="s">
        <v>636</v>
      </c>
      <c r="U44" s="316"/>
      <c r="V44" s="2366"/>
      <c r="W44" s="2367"/>
      <c r="X44" s="2367"/>
      <c r="Y44" s="2367"/>
      <c r="Z44" s="2367"/>
      <c r="AA44" s="2367"/>
      <c r="AB44" s="2368"/>
      <c r="AC44" s="2369"/>
      <c r="AD44" s="2370"/>
      <c r="AE44" s="2370"/>
      <c r="AF44" s="2370"/>
      <c r="AG44" s="2370"/>
      <c r="AH44" s="2370"/>
      <c r="AI44" s="2370"/>
      <c r="AJ44" s="2371"/>
      <c r="AK44" s="1274" t="s">
        <v>637</v>
      </c>
      <c r="AM44" s="516"/>
      <c r="AN44" s="516" t="str">
        <f>IF(T44="","",T44)</f>
        <v>Наименование признака дифференциации</v>
      </c>
      <c r="AO44" s="516"/>
      <c r="AP44" s="516"/>
      <c r="AQ44" s="1171">
        <v>23</v>
      </c>
    </row>
    <row customHeight="1" ht="24">
      <c r="A45" s="1379" t="s">
        <v>389</v>
      </c>
      <c r="B45" s="1379" t="s">
        <v>390</v>
      </c>
      <c r="C45" s="1379" t="s">
        <v>391</v>
      </c>
      <c r="D45" s="1379" t="s">
        <v>650</v>
      </c>
      <c r="E45" s="2275"/>
      <c r="F45" s="2275"/>
      <c r="G45" s="2275"/>
      <c r="H45" s="2275"/>
      <c r="I45" s="2302"/>
      <c r="J45" s="2272" t="str">
        <f>I44&amp;".1"</f>
        <v>...1.1</v>
      </c>
      <c r="K45" s="1379"/>
      <c r="L45" s="1380" t="s">
        <v>559</v>
      </c>
      <c r="P45" s="2273"/>
      <c r="Q45" s="2273">
        <v>1</v>
      </c>
      <c r="R45" s="373"/>
      <c r="S45" s="1473" t="str">
        <f>$J45</f>
        <v>...1.1</v>
      </c>
      <c r="T45" s="302" t="s">
        <v>560</v>
      </c>
      <c r="U45" s="316"/>
      <c r="V45" s="2261"/>
      <c r="W45" s="2262"/>
      <c r="X45" s="2262"/>
      <c r="Y45" s="2262"/>
      <c r="Z45" s="2262"/>
      <c r="AA45" s="2262"/>
      <c r="AB45" s="2263"/>
      <c r="AC45" s="2261"/>
      <c r="AD45" s="2262"/>
      <c r="AE45" s="2262"/>
      <c r="AF45" s="2262"/>
      <c r="AG45" s="2262"/>
      <c r="AH45" s="2262"/>
      <c r="AI45" s="2262"/>
      <c r="AJ45" s="2263"/>
      <c r="AK45" s="1323" t="s">
        <v>638</v>
      </c>
      <c r="AM45" s="516"/>
      <c r="AN45" s="516" t="str">
        <f>IF(T45="","",T45)</f>
        <v>Группа потребителей</v>
      </c>
      <c r="AO45" s="516"/>
      <c r="AP45" s="516"/>
      <c r="AQ45" s="1171">
        <v>23</v>
      </c>
    </row>
    <row customHeight="1" ht="24">
      <c r="A46" s="1379" t="s">
        <v>389</v>
      </c>
      <c r="B46" s="1379" t="s">
        <v>390</v>
      </c>
      <c r="C46" s="1379" t="s">
        <v>391</v>
      </c>
      <c r="D46" s="1379" t="s">
        <v>650</v>
      </c>
      <c r="E46" s="2275"/>
      <c r="F46" s="2275"/>
      <c r="G46" s="2275"/>
      <c r="H46" s="2275"/>
      <c r="I46" s="2302"/>
      <c r="J46" s="2302"/>
      <c r="K46" s="2272" t="str">
        <f>J45&amp;".1"</f>
        <v>...1.1.1</v>
      </c>
      <c r="L46" s="1380"/>
      <c r="P46" s="2273"/>
      <c r="Q46" s="2273"/>
      <c r="R46" s="373">
        <v>1</v>
      </c>
      <c r="S46" s="1473" t="str">
        <f>$K46</f>
        <v>...1.1.1</v>
      </c>
      <c r="T46" s="1453"/>
      <c r="U46" s="316"/>
      <c r="V46" s="767"/>
      <c r="W46" s="767"/>
      <c r="X46" s="1273"/>
      <c r="Y46" s="2281"/>
      <c r="Z46" s="2123" t="s">
        <v>64</v>
      </c>
      <c r="AA46" s="2281"/>
      <c r="AB46" s="2123" t="s">
        <v>64</v>
      </c>
      <c r="AC46" s="767"/>
      <c r="AD46" s="767"/>
      <c r="AE46" s="1273"/>
      <c r="AF46" s="2281"/>
      <c r="AG46" s="2123" t="s">
        <v>64</v>
      </c>
      <c r="AH46" s="2303"/>
      <c r="AI46" s="2123" t="s">
        <v>64</v>
      </c>
      <c r="AJ46" s="1454"/>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7">
        <f>STRCHECKDATE(V47:AJ47)</f>
      </c>
      <c r="AM46" s="516"/>
      <c r="AN46" s="516" t="str">
        <f>IF(T46="","",T46)</f>
        <v/>
      </c>
      <c r="AO46" s="516"/>
      <c r="AP46" s="516"/>
      <c r="AQ46" s="1171">
        <v>23</v>
      </c>
    </row>
    <row customHeight="1" ht="0">
      <c r="A47" s="1379" t="s">
        <v>389</v>
      </c>
      <c r="B47" s="1379" t="s">
        <v>390</v>
      </c>
      <c r="C47" s="1379" t="s">
        <v>391</v>
      </c>
      <c r="D47" s="1379" t="s">
        <v>650</v>
      </c>
      <c r="E47" s="2275"/>
      <c r="F47" s="2275"/>
      <c r="G47" s="2275"/>
      <c r="H47" s="2275"/>
      <c r="I47" s="2302"/>
      <c r="J47" s="2302"/>
      <c r="K47" s="2272"/>
      <c r="L47" s="1380"/>
      <c r="P47" s="2273"/>
      <c r="Q47" s="2273"/>
      <c r="R47" s="373"/>
      <c r="S47" s="1472"/>
      <c r="T47" s="316"/>
      <c r="U47" s="316"/>
      <c r="V47" s="341"/>
      <c r="W47" s="341"/>
      <c r="X47" s="344" t="str">
        <f>Y46&amp;"-"&amp;AA46</f>
        <v>-</v>
      </c>
      <c r="Y47" s="2282"/>
      <c r="Z47" s="2123"/>
      <c r="AA47" s="2282"/>
      <c r="AB47" s="2123"/>
      <c r="AC47" s="341"/>
      <c r="AD47" s="341"/>
      <c r="AE47" s="344" t="str">
        <f>AF46&amp;"-"&amp;AH46</f>
        <v>-</v>
      </c>
      <c r="AF47" s="2282"/>
      <c r="AG47" s="2123"/>
      <c r="AH47" s="2304"/>
      <c r="AI47" s="2123"/>
      <c r="AJ47" s="1455"/>
      <c r="AK47" s="2365"/>
      <c r="AM47" s="516"/>
      <c r="AN47" s="516" t="str">
        <f>IF(T47="","",T47)</f>
        <v/>
      </c>
      <c r="AO47" s="516"/>
      <c r="AP47" s="516"/>
      <c r="AQ47" s="1171">
        <v>0</v>
      </c>
    </row>
    <row customHeight="1" ht="21">
      <c r="A48" s="1379" t="s">
        <v>389</v>
      </c>
      <c r="B48" s="1379" t="s">
        <v>390</v>
      </c>
      <c r="C48" s="1379" t="s">
        <v>391</v>
      </c>
      <c r="D48" s="1379" t="s">
        <v>650</v>
      </c>
      <c r="E48" s="2275"/>
      <c r="F48" s="2275"/>
      <c r="G48" s="2275"/>
      <c r="H48" s="2275"/>
      <c r="I48" s="2302"/>
      <c r="J48" s="2272"/>
      <c r="K48" s="1379"/>
      <c r="L48" s="1380"/>
      <c r="P48" s="2273"/>
      <c r="Q48" s="2273"/>
      <c r="R48" s="372"/>
      <c r="S48" s="1294"/>
      <c r="T48" s="303" t="s">
        <v>639</v>
      </c>
      <c r="U48" s="383"/>
      <c r="V48" s="383"/>
      <c r="W48" s="383"/>
      <c r="X48" s="383"/>
      <c r="Y48" s="383"/>
      <c r="Z48" s="383"/>
      <c r="AA48" s="383"/>
      <c r="AB48" s="383"/>
      <c r="AC48" s="383"/>
      <c r="AD48" s="383"/>
      <c r="AE48" s="383"/>
      <c r="AF48" s="383"/>
      <c r="AG48" s="383"/>
      <c r="AH48" s="383"/>
      <c r="AI48" s="383"/>
      <c r="AJ48" s="383"/>
      <c r="AK48" s="1274" t="s">
        <v>640</v>
      </c>
      <c r="AM48" s="516"/>
      <c r="AN48" s="516" t="str">
        <f>IF(T48="","",T48)</f>
        <v>Добавить значение признака дифференциации</v>
      </c>
      <c r="AO48" s="516"/>
      <c r="AP48" s="516"/>
      <c r="AQ48" s="1171">
        <v>20</v>
      </c>
    </row>
    <row customHeight="1" ht="22.049999999999997">
      <c r="A49" s="1379" t="s">
        <v>389</v>
      </c>
      <c r="B49" s="1379" t="s">
        <v>390</v>
      </c>
      <c r="C49" s="1379" t="s">
        <v>391</v>
      </c>
      <c r="D49" s="1379" t="s">
        <v>650</v>
      </c>
      <c r="E49" s="2275"/>
      <c r="F49" s="2275"/>
      <c r="G49" s="2275"/>
      <c r="H49" s="2275"/>
      <c r="I49" s="2272"/>
      <c r="J49" s="1379"/>
      <c r="K49" s="1379"/>
      <c r="L49" s="1380"/>
      <c r="P49" s="2273"/>
      <c r="Q49" s="1466"/>
      <c r="R49" s="372"/>
      <c r="S49" s="1294"/>
      <c r="T49" s="381" t="s">
        <v>565</v>
      </c>
      <c r="U49" s="383"/>
      <c r="V49" s="383"/>
      <c r="W49" s="383"/>
      <c r="X49" s="383"/>
      <c r="Y49" s="383"/>
      <c r="Z49" s="383"/>
      <c r="AA49" s="383"/>
      <c r="AB49" s="382"/>
      <c r="AC49" s="383"/>
      <c r="AD49" s="383"/>
      <c r="AE49" s="383"/>
      <c r="AF49" s="383"/>
      <c r="AG49" s="383"/>
      <c r="AH49" s="383"/>
      <c r="AI49" s="382"/>
      <c r="AJ49" s="383"/>
      <c r="AK49" s="1456"/>
      <c r="AM49" s="516"/>
      <c r="AN49" s="516" t="str">
        <f>IF(T49="","",T49)</f>
        <v>Добавить группу потребителей</v>
      </c>
      <c r="AO49" s="516"/>
      <c r="AP49" s="516"/>
      <c r="AQ49" s="1171">
        <v>21</v>
      </c>
    </row>
    <row customHeight="1" ht="22.049999999999997">
      <c r="A50" s="1379" t="s">
        <v>389</v>
      </c>
      <c r="B50" s="1379" t="s">
        <v>390</v>
      </c>
      <c r="C50" s="1379" t="s">
        <v>391</v>
      </c>
      <c r="D50" s="1379" t="s">
        <v>650</v>
      </c>
      <c r="E50" s="2275"/>
      <c r="F50" s="2275"/>
      <c r="G50" s="2275"/>
      <c r="H50" s="2274"/>
      <c r="I50" s="1379"/>
      <c r="J50" s="1379"/>
      <c r="K50" s="1379"/>
      <c r="L50" s="1380"/>
      <c r="M50" s="1381"/>
      <c r="N50" s="1381"/>
      <c r="O50" s="553"/>
      <c r="P50" s="376"/>
      <c r="Q50" s="391"/>
      <c r="R50" s="371"/>
      <c r="S50" s="1294"/>
      <c r="T50" s="388" t="s">
        <v>641</v>
      </c>
      <c r="U50" s="383"/>
      <c r="V50" s="383"/>
      <c r="W50" s="383"/>
      <c r="X50" s="383"/>
      <c r="Y50" s="383"/>
      <c r="Z50" s="383"/>
      <c r="AA50" s="383"/>
      <c r="AB50" s="382"/>
      <c r="AC50" s="383"/>
      <c r="AD50" s="383"/>
      <c r="AE50" s="383"/>
      <c r="AF50" s="383"/>
      <c r="AG50" s="383"/>
      <c r="AH50" s="383"/>
      <c r="AI50" s="382"/>
      <c r="AJ50" s="383"/>
      <c r="AK50" s="319"/>
      <c r="AM50" s="516"/>
      <c r="AN50" s="516" t="str">
        <f>IF(T50="","",T50)</f>
        <v>Добавить наименование признака дифференциации</v>
      </c>
      <c r="AO50" s="516"/>
      <c r="AP50" s="516"/>
      <c r="AQ50" s="1171">
        <v>21</v>
      </c>
    </row>
    <row s="1658" customFormat="1" customHeight="1" ht="0">
      <c r="A51" s="1359" t="s">
        <v>389</v>
      </c>
      <c r="B51" s="1359" t="s">
        <v>390</v>
      </c>
      <c r="C51" s="1330"/>
      <c r="D51" s="1330"/>
      <c r="E51" s="2275"/>
      <c r="F51" s="2274"/>
      <c r="G51" s="1330"/>
      <c r="H51" s="1330"/>
      <c r="I51" s="1330"/>
      <c r="J51" s="1330"/>
      <c r="K51" s="1330"/>
      <c r="L51" s="1474"/>
      <c r="M51" s="1337"/>
      <c r="N51" s="1337"/>
      <c r="P51" s="1332"/>
      <c r="Q51" s="1333"/>
      <c r="R51" s="1332"/>
      <c r="S51" s="1338"/>
      <c r="T51" s="1341" t="s">
        <v>269</v>
      </c>
      <c r="U51" s="1340"/>
      <c r="V51" s="1340"/>
      <c r="W51" s="1340"/>
      <c r="X51" s="1340"/>
      <c r="Y51" s="1340"/>
      <c r="Z51" s="1340"/>
      <c r="AA51" s="1340"/>
      <c r="AB51" s="1340"/>
      <c r="AC51" s="1340"/>
      <c r="AD51" s="1340"/>
      <c r="AE51" s="1340"/>
      <c r="AF51" s="1340"/>
      <c r="AG51" s="1340"/>
      <c r="AH51" s="1340"/>
      <c r="AI51" s="1340"/>
      <c r="AJ51" s="1340"/>
      <c r="AK51" s="1340"/>
      <c r="AM51" s="805"/>
      <c r="AN51" s="805" t="str">
        <f>IF(T51="","",T51)</f>
        <v>Добавить централизованную систему для дифференциации</v>
      </c>
      <c r="AO51" s="805"/>
      <c r="AP51" s="805"/>
      <c r="AQ51" s="534">
        <v>0</v>
      </c>
    </row>
    <row s="1658" customFormat="1" customHeight="1" ht="0">
      <c r="A52" s="1359" t="s">
        <v>389</v>
      </c>
      <c r="B52" s="1359"/>
      <c r="C52" s="1359"/>
      <c r="D52" s="1359"/>
      <c r="E52" s="2274"/>
      <c r="F52" s="1359"/>
      <c r="G52" s="1359"/>
      <c r="H52" s="1359"/>
      <c r="I52" s="1359"/>
      <c r="J52" s="1359"/>
      <c r="K52" s="1359"/>
      <c r="L52" s="1362"/>
      <c r="M52" s="1337"/>
      <c r="N52" s="1337"/>
      <c r="O52" s="534"/>
      <c r="P52" s="396"/>
      <c r="Q52" s="1360"/>
      <c r="R52" s="396"/>
      <c r="S52" s="1338"/>
      <c r="T52" s="1341" t="s">
        <v>330</v>
      </c>
      <c r="U52" s="1340"/>
      <c r="V52" s="1340"/>
      <c r="W52" s="1340"/>
      <c r="X52" s="1340"/>
      <c r="Y52" s="1340"/>
      <c r="Z52" s="1340"/>
      <c r="AA52" s="1340"/>
      <c r="AB52" s="1340"/>
      <c r="AC52" s="1340"/>
      <c r="AD52" s="1340"/>
      <c r="AE52" s="1340"/>
      <c r="AF52" s="1340"/>
      <c r="AG52" s="1340"/>
      <c r="AH52" s="1340"/>
      <c r="AI52" s="1340"/>
      <c r="AJ52" s="1340"/>
      <c r="AK52" s="1340"/>
      <c r="AM52" s="516"/>
      <c r="AN52" s="516" t="str">
        <f>IF(T52="","",T52)</f>
        <v>Добавить территорию для дифференциации</v>
      </c>
      <c r="AO52" s="516"/>
      <c r="AP52" s="516"/>
      <c r="AQ52" s="527">
        <v>0</v>
      </c>
    </row>
    <row s="1658" customFormat="1" customHeight="1" ht="0">
      <c r="A53" s="1330"/>
      <c r="B53" s="1330"/>
      <c r="C53" s="1330"/>
      <c r="D53" s="1330"/>
      <c r="E53" s="1359"/>
      <c r="F53" s="1330"/>
      <c r="G53" s="1330"/>
      <c r="H53" s="1330"/>
      <c r="I53" s="1330"/>
      <c r="J53" s="1330"/>
      <c r="K53" s="1330"/>
      <c r="L53" s="1474"/>
      <c r="M53" s="1337"/>
      <c r="N53" s="1337"/>
      <c r="P53" s="1332"/>
      <c r="Q53" s="1333"/>
      <c r="R53" s="1332"/>
      <c r="S53" s="1338"/>
      <c r="T53" s="1341" t="s">
        <v>356</v>
      </c>
      <c r="U53" s="1340"/>
      <c r="V53" s="1340"/>
      <c r="W53" s="1340"/>
      <c r="X53" s="1340"/>
      <c r="Y53" s="1340"/>
      <c r="Z53" s="1340"/>
      <c r="AA53" s="1340"/>
      <c r="AB53" s="1340"/>
      <c r="AC53" s="1340"/>
      <c r="AD53" s="1340"/>
      <c r="AE53" s="1340"/>
      <c r="AF53" s="1340"/>
      <c r="AG53" s="1340"/>
      <c r="AH53" s="1340"/>
      <c r="AI53" s="1340"/>
      <c r="AJ53" s="1340"/>
      <c r="AK53" s="1340"/>
      <c r="AM53" s="805"/>
      <c r="AN53" s="805" t="str">
        <f>IF(T53="","",T53)</f>
        <v>Добавить наименование тарифа</v>
      </c>
      <c r="AO53" s="805"/>
      <c r="AP53" s="805"/>
      <c r="AQ53" s="534">
        <v>0</v>
      </c>
    </row>
    <row customHeight="1" ht="11.549999999999999">
      <c r="M54" s="1176"/>
      <c r="N54" s="1176"/>
      <c r="O54" s="553"/>
      <c r="P54" s="1171"/>
      <c r="Q54" s="1171"/>
      <c r="R54" s="1171"/>
      <c r="S54" s="1171"/>
      <c r="AL54" s="1171"/>
      <c r="AM54" s="1171"/>
      <c r="AN54" s="1171"/>
      <c r="AO54" s="1171"/>
      <c r="AP54" s="1171"/>
      <c r="AQ54" s="1171">
        <v>11</v>
      </c>
    </row>
    <row customHeight="1" ht="14.699999999999998">
      <c r="O55" s="553"/>
      <c r="S55" s="1269"/>
      <c r="T55" s="2301"/>
      <c r="U55" s="2301"/>
      <c r="V55" s="2301"/>
      <c r="W55" s="2301"/>
      <c r="X55" s="2301"/>
      <c r="Y55" s="2301"/>
      <c r="Z55" s="2301"/>
      <c r="AA55" s="2301"/>
      <c r="AB55" s="2301"/>
      <c r="AC55" s="2301"/>
      <c r="AD55" s="2301"/>
      <c r="AE55" s="2301"/>
      <c r="AF55" s="2301"/>
      <c r="AG55" s="2301"/>
      <c r="AH55" s="2301"/>
      <c r="AI55" s="2301"/>
      <c r="AJ55" s="2301"/>
      <c r="AK55" s="2301"/>
      <c r="AQ55" s="1171">
        <v>14</v>
      </c>
    </row>
    <row customHeight="1" ht="14.699999999999998">
      <c r="O56" s="553"/>
      <c r="AQ56" s="1171">
        <v>14</v>
      </c>
    </row>
    <row customHeight="1" ht="14.699999999999998">
      <c r="O57" s="553"/>
      <c r="S57" s="1269"/>
      <c r="T57" s="2301"/>
      <c r="U57" s="2301"/>
      <c r="V57" s="2301"/>
      <c r="W57" s="2301"/>
      <c r="X57" s="2301"/>
      <c r="Y57" s="2301"/>
      <c r="Z57" s="2301"/>
      <c r="AA57" s="2301"/>
      <c r="AB57" s="2301"/>
      <c r="AC57" s="2301"/>
      <c r="AD57" s="2301"/>
      <c r="AE57" s="2301"/>
      <c r="AF57" s="2301"/>
      <c r="AG57" s="2301"/>
      <c r="AH57" s="2301"/>
      <c r="AI57" s="2301"/>
      <c r="AJ57" s="2301"/>
      <c r="AK57" s="2301"/>
      <c r="AQ57" s="1171">
        <v>14</v>
      </c>
    </row>
    <row customHeight="1" ht="22.5" hidden="1">
      <c r="A58" s="1176" t="s">
        <v>85</v>
      </c>
      <c r="B58" s="1176">
        <v>0</v>
      </c>
      <c r="C58" s="1176">
        <v>0</v>
      </c>
      <c r="D58" s="1176">
        <v>0</v>
      </c>
      <c r="E58" s="1176">
        <v>0</v>
      </c>
      <c r="F58" s="1176">
        <v>0</v>
      </c>
      <c r="G58" s="1176">
        <v>0</v>
      </c>
      <c r="H58" s="1176">
        <v>0</v>
      </c>
      <c r="I58" s="1176">
        <v>0</v>
      </c>
      <c r="J58" s="1176">
        <v>0</v>
      </c>
      <c r="K58" s="1176">
        <v>0</v>
      </c>
      <c r="L58" s="1463">
        <v>0</v>
      </c>
      <c r="M58" s="1378">
        <v>0</v>
      </c>
      <c r="N58" s="1378">
        <v>0</v>
      </c>
      <c r="O58" s="1378">
        <v>0</v>
      </c>
      <c r="P58" s="1462">
        <v>3</v>
      </c>
      <c r="Q58" s="360">
        <v>3</v>
      </c>
      <c r="R58" s="360">
        <v>3</v>
      </c>
      <c r="S58" s="597">
        <v>12</v>
      </c>
      <c r="T58" s="1171">
        <v>35</v>
      </c>
      <c r="U58" s="1171">
        <v>0</v>
      </c>
      <c r="V58" s="1171">
        <v>0</v>
      </c>
      <c r="W58" s="1171">
        <v>0</v>
      </c>
      <c r="X58" s="1171">
        <v>0</v>
      </c>
      <c r="Y58" s="1171">
        <v>0</v>
      </c>
      <c r="Z58" s="1171">
        <v>0</v>
      </c>
      <c r="AA58" s="1171">
        <v>0</v>
      </c>
      <c r="AB58" s="1171">
        <v>0</v>
      </c>
      <c r="AC58" s="1171">
        <v>24</v>
      </c>
      <c r="AD58" s="1171">
        <v>24</v>
      </c>
      <c r="AE58" s="1171">
        <v>24</v>
      </c>
      <c r="AF58" s="1171">
        <v>11</v>
      </c>
      <c r="AG58" s="1171">
        <v>3</v>
      </c>
      <c r="AH58" s="1171">
        <v>11</v>
      </c>
      <c r="AI58" s="1171">
        <v>0</v>
      </c>
      <c r="AJ58" s="1171">
        <v>4</v>
      </c>
      <c r="AK58" s="1171">
        <v>115</v>
      </c>
      <c r="AL58" s="527">
        <v>10</v>
      </c>
      <c r="AM58" s="527">
        <v>10</v>
      </c>
      <c r="AN58" s="527">
        <v>10</v>
      </c>
      <c r="AO58" s="527">
        <v>10</v>
      </c>
      <c r="AP58" s="527">
        <v>10</v>
      </c>
      <c r="AQ58" s="117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8AB49-E77E-149F-F419-8A171356C0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4" style="1651" width="24.7109375" hidden="1" customWidth="1"/>
    <col min="25" max="25" style="1651" width="11.7109375" hidden="1" customWidth="1"/>
    <col min="26" max="26" style="1651" width="3.7109375" hidden="1" customWidth="1"/>
    <col min="27" max="27" style="1651" width="11.7109375" hidden="1" customWidth="1"/>
    <col min="28" max="28" style="1651" width="8.57421875" hidden="1" customWidth="1"/>
    <col min="29" max="29" style="1651" width="24.7109375" customWidth="1"/>
    <col min="30" max="31" style="1651" width="24.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22.5" hidden="1">
      <c r="X1" s="343"/>
      <c r="Y1" s="343"/>
      <c r="AE1" s="343"/>
      <c r="AF1" s="343"/>
      <c r="AQ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473">
        <f>INDEX(PT_DIFFERENTIATION_NUM_NTAR,MATCH(A2,PT_DIFFERENTIATION_NTAR_ID,0))</f>
      </c>
      <c r="T2" s="314" t="s">
        <v>192</v>
      </c>
      <c r="U2" s="316"/>
      <c r="V2" s="2258"/>
      <c r="W2" s="2259"/>
      <c r="X2" s="2259"/>
      <c r="Y2" s="2259"/>
      <c r="Z2" s="2259"/>
      <c r="AA2" s="2259"/>
      <c r="AB2" s="2260"/>
      <c r="AC2" s="2258">
        <f>INDEX(PT_DIFFERENTIATION_NTAR,MATCH(A2,PT_DIFFERENTIATION_NTAR_ID,0))</f>
      </c>
      <c r="AD2" s="2259"/>
      <c r="AE2" s="2259"/>
      <c r="AF2" s="2259"/>
      <c r="AG2" s="2259"/>
      <c r="AH2" s="2259"/>
      <c r="AI2" s="2259"/>
      <c r="AJ2" s="2260"/>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6"/>
      <c r="AN2" s="516" t="str">
        <f>IF(T2="","",T2)</f>
        <v>Наименование тарифа</v>
      </c>
      <c r="AO2" s="516"/>
      <c r="AP2" s="516"/>
      <c r="AQ2" s="1171">
        <v>0</v>
      </c>
    </row>
    <row customHeight="1" ht="23.25" hidden="1">
      <c r="A3" s="1379"/>
      <c r="B3" s="1379"/>
      <c r="C3" s="1379"/>
      <c r="D3" s="1379"/>
      <c r="E3" s="2275"/>
      <c r="F3" s="2274">
        <v>1</v>
      </c>
      <c r="G3" s="1379"/>
      <c r="H3" s="1379"/>
      <c r="I3" s="1379"/>
      <c r="J3" s="1379"/>
      <c r="K3" s="1379"/>
      <c r="L3" s="1380"/>
      <c r="M3" s="1381"/>
      <c r="N3" s="1381"/>
      <c r="O3" s="1381"/>
      <c r="P3" s="1469"/>
      <c r="Q3" s="368"/>
      <c r="R3" s="369"/>
      <c r="S3" s="1473">
        <f>INDEX(PT_DIFFERENTIATION_NUM_TER,MATCH(B3,PT_DIFFERENTIATION_TER_ID,0))</f>
      </c>
      <c r="T3" s="324" t="s">
        <v>550</v>
      </c>
      <c r="U3" s="316"/>
      <c r="V3" s="2258"/>
      <c r="W3" s="2259"/>
      <c r="X3" s="2259"/>
      <c r="Y3" s="2259"/>
      <c r="Z3" s="2259"/>
      <c r="AA3" s="2259"/>
      <c r="AB3" s="2260"/>
      <c r="AC3" s="2258">
        <f>INDEX(PT_DIFFERENTIATION_TER,MATCH(B3,PT_DIFFERENTIATION_TER_ID,0))</f>
      </c>
      <c r="AD3" s="2259"/>
      <c r="AE3" s="2259"/>
      <c r="AF3" s="2259"/>
      <c r="AG3" s="2259"/>
      <c r="AH3" s="2259"/>
      <c r="AI3" s="2259"/>
      <c r="AJ3" s="2260"/>
      <c r="AK3" s="1274" t="s">
        <v>551</v>
      </c>
      <c r="AM3" s="516"/>
      <c r="AN3" s="516" t="str">
        <f>IF(T3="","",T3)</f>
        <v>Территория действия тарифа</v>
      </c>
      <c r="AO3" s="516"/>
      <c r="AP3" s="516"/>
      <c r="AQ3" s="1171">
        <v>0</v>
      </c>
    </row>
    <row customHeight="1" ht="23.25" hidden="1">
      <c r="A4" s="1379"/>
      <c r="B4" s="1379"/>
      <c r="C4" s="1379"/>
      <c r="D4" s="1379"/>
      <c r="E4" s="2275"/>
      <c r="F4" s="2275"/>
      <c r="G4" s="2274">
        <v>1</v>
      </c>
      <c r="H4" s="1379"/>
      <c r="I4" s="1379"/>
      <c r="J4" s="1379"/>
      <c r="K4" s="1379"/>
      <c r="L4" s="1380"/>
      <c r="M4" s="1381"/>
      <c r="N4" s="1381"/>
      <c r="O4" s="1381"/>
      <c r="P4" s="370"/>
      <c r="Q4" s="368"/>
      <c r="R4" s="369"/>
      <c r="S4" s="1473">
        <f>INDEX(PT_DIFFERENTIATION_NUM_CS,MATCH(C4,PT_DIFFERENTIATION_CS_ID,0))</f>
      </c>
      <c r="T4" s="325" t="s">
        <v>634</v>
      </c>
      <c r="U4" s="316"/>
      <c r="V4" s="2258"/>
      <c r="W4" s="2259"/>
      <c r="X4" s="2259"/>
      <c r="Y4" s="2259"/>
      <c r="Z4" s="2259"/>
      <c r="AA4" s="2259"/>
      <c r="AB4" s="2260"/>
      <c r="AC4" s="2258">
        <f>INDEX(PT_DIFFERENTIATION_CS,MATCH(C4,PT_DIFFERENTIATION_CS_ID,0))</f>
      </c>
      <c r="AD4" s="2259"/>
      <c r="AE4" s="2259"/>
      <c r="AF4" s="2259"/>
      <c r="AG4" s="2259"/>
      <c r="AH4" s="2259"/>
      <c r="AI4" s="2259"/>
      <c r="AJ4" s="2260"/>
      <c r="AK4" s="1274" t="s">
        <v>635</v>
      </c>
      <c r="AM4" s="516"/>
      <c r="AN4" s="516" t="str">
        <f>IF(T4="","",T4)</f>
        <v>Наименование централизованной системы холодного водоснабжения</v>
      </c>
      <c r="AO4" s="516"/>
      <c r="AP4" s="516"/>
      <c r="AQ4" s="1171">
        <v>0</v>
      </c>
    </row>
    <row customHeight="1" ht="23.25" hidden="1">
      <c r="A5" s="1379"/>
      <c r="B5" s="1379"/>
      <c r="C5" s="1379"/>
      <c r="D5" s="1379"/>
      <c r="E5" s="2275"/>
      <c r="F5" s="2275"/>
      <c r="G5" s="2275"/>
      <c r="H5" s="2275"/>
      <c r="I5" s="2272">
        <f>S4&amp;".1"</f>
      </c>
      <c r="J5" s="1379"/>
      <c r="K5" s="1379"/>
      <c r="L5" s="1380"/>
      <c r="P5" s="2273">
        <v>1</v>
      </c>
      <c r="Q5" s="1466"/>
      <c r="R5" s="372"/>
      <c r="S5" s="1473">
        <f>$I5</f>
      </c>
      <c r="T5" s="301" t="s">
        <v>636</v>
      </c>
      <c r="U5" s="316"/>
      <c r="V5" s="2366"/>
      <c r="W5" s="2367"/>
      <c r="X5" s="2367"/>
      <c r="Y5" s="2367"/>
      <c r="Z5" s="2367"/>
      <c r="AA5" s="2367"/>
      <c r="AB5" s="2368"/>
      <c r="AC5" s="2369"/>
      <c r="AD5" s="2370"/>
      <c r="AE5" s="2370"/>
      <c r="AF5" s="2370"/>
      <c r="AG5" s="2370"/>
      <c r="AH5" s="2370"/>
      <c r="AI5" s="2370"/>
      <c r="AJ5" s="2371"/>
      <c r="AK5" s="1274" t="s">
        <v>637</v>
      </c>
      <c r="AM5" s="516"/>
      <c r="AN5" s="516" t="str">
        <f>IF(T5="","",T5)</f>
        <v>Наименование признака дифференциации</v>
      </c>
      <c r="AO5" s="516"/>
      <c r="AP5" s="516"/>
      <c r="AQ5" s="1171">
        <v>0</v>
      </c>
    </row>
    <row customHeight="1" ht="23.25" hidden="1">
      <c r="A6" s="1379"/>
      <c r="B6" s="1379"/>
      <c r="C6" s="1379"/>
      <c r="D6" s="1379"/>
      <c r="E6" s="2275"/>
      <c r="F6" s="2275"/>
      <c r="G6" s="2275"/>
      <c r="H6" s="2275"/>
      <c r="I6" s="2302"/>
      <c r="J6" s="2272">
        <f>I5&amp;".1"</f>
      </c>
      <c r="K6" s="1379"/>
      <c r="L6" s="1380" t="s">
        <v>559</v>
      </c>
      <c r="P6" s="2273"/>
      <c r="Q6" s="2273">
        <v>1</v>
      </c>
      <c r="R6" s="373"/>
      <c r="S6" s="1473">
        <f>$J6</f>
      </c>
      <c r="T6" s="302" t="s">
        <v>560</v>
      </c>
      <c r="U6" s="316"/>
      <c r="V6" s="2261"/>
      <c r="W6" s="2262"/>
      <c r="X6" s="2262"/>
      <c r="Y6" s="2262"/>
      <c r="Z6" s="2262"/>
      <c r="AA6" s="2262"/>
      <c r="AB6" s="2263"/>
      <c r="AC6" s="2261"/>
      <c r="AD6" s="2262"/>
      <c r="AE6" s="2262"/>
      <c r="AF6" s="2262"/>
      <c r="AG6" s="2262"/>
      <c r="AH6" s="2262"/>
      <c r="AI6" s="2262"/>
      <c r="AJ6" s="2263"/>
      <c r="AK6" s="1323" t="s">
        <v>638</v>
      </c>
      <c r="AM6" s="516"/>
      <c r="AN6" s="516" t="str">
        <f>IF(T6="","",T6)</f>
        <v>Группа потребителей</v>
      </c>
      <c r="AO6" s="516"/>
      <c r="AP6" s="516"/>
      <c r="AQ6" s="1171">
        <v>0</v>
      </c>
    </row>
    <row customHeight="1" ht="23.25" hidden="1">
      <c r="A7" s="1379"/>
      <c r="B7" s="1379"/>
      <c r="C7" s="1379"/>
      <c r="D7" s="1379"/>
      <c r="E7" s="2275"/>
      <c r="F7" s="2275"/>
      <c r="G7" s="2275"/>
      <c r="H7" s="2275"/>
      <c r="I7" s="2302"/>
      <c r="J7" s="2302"/>
      <c r="K7" s="2272">
        <f>J6&amp;".1"</f>
      </c>
      <c r="L7" s="1380"/>
      <c r="P7" s="2273"/>
      <c r="Q7" s="2273"/>
      <c r="R7" s="373">
        <v>1</v>
      </c>
      <c r="S7" s="1473">
        <f>$K7</f>
      </c>
      <c r="T7" s="1453"/>
      <c r="U7" s="316"/>
      <c r="V7" s="767"/>
      <c r="W7" s="767"/>
      <c r="X7" s="1273"/>
      <c r="Y7" s="2281"/>
      <c r="Z7" s="2123" t="s">
        <v>64</v>
      </c>
      <c r="AA7" s="2281"/>
      <c r="AB7" s="2123" t="s">
        <v>64</v>
      </c>
      <c r="AC7" s="767"/>
      <c r="AD7" s="767"/>
      <c r="AE7" s="1273"/>
      <c r="AF7" s="2281"/>
      <c r="AG7" s="2123" t="s">
        <v>64</v>
      </c>
      <c r="AH7" s="2303"/>
      <c r="AI7" s="2123" t="s">
        <v>64</v>
      </c>
      <c r="AJ7" s="1454"/>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7">
        <f>STRCHECKDATE(V8:AJ8)</f>
      </c>
      <c r="AM7" s="516"/>
      <c r="AN7" s="516" t="str">
        <f>IF(T7="","",T7)</f>
        <v/>
      </c>
      <c r="AO7" s="516"/>
      <c r="AP7" s="516"/>
      <c r="AQ7" s="1171">
        <v>0</v>
      </c>
    </row>
    <row customHeight="1" ht="14.25" hidden="1">
      <c r="A8" s="1379"/>
      <c r="B8" s="1379"/>
      <c r="C8" s="1379"/>
      <c r="D8" s="1379"/>
      <c r="E8" s="2275"/>
      <c r="F8" s="2275"/>
      <c r="G8" s="2275"/>
      <c r="H8" s="2275"/>
      <c r="I8" s="2302"/>
      <c r="J8" s="2302"/>
      <c r="K8" s="2272"/>
      <c r="L8" s="1380"/>
      <c r="P8" s="2273"/>
      <c r="Q8" s="2273"/>
      <c r="R8" s="373"/>
      <c r="S8" s="1472"/>
      <c r="T8" s="316"/>
      <c r="U8" s="316"/>
      <c r="V8" s="341"/>
      <c r="W8" s="341"/>
      <c r="X8" s="344" t="str">
        <f>Y7&amp;"-"&amp;AA7</f>
        <v>-</v>
      </c>
      <c r="Y8" s="2282"/>
      <c r="Z8" s="2123"/>
      <c r="AA8" s="2282"/>
      <c r="AB8" s="2123"/>
      <c r="AC8" s="341"/>
      <c r="AD8" s="341"/>
      <c r="AE8" s="344" t="str">
        <f>AF7&amp;"-"&amp;AH7</f>
        <v>-</v>
      </c>
      <c r="AF8" s="2282"/>
      <c r="AG8" s="2123"/>
      <c r="AH8" s="2304"/>
      <c r="AI8" s="2123"/>
      <c r="AJ8" s="1455"/>
      <c r="AK8" s="2365"/>
      <c r="AM8" s="516"/>
      <c r="AN8" s="516" t="str">
        <f>IF(T8="","",T8)</f>
        <v/>
      </c>
      <c r="AO8" s="516"/>
      <c r="AP8" s="516"/>
      <c r="AQ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383"/>
      <c r="X9" s="383"/>
      <c r="Y9" s="383"/>
      <c r="Z9" s="383"/>
      <c r="AA9" s="383"/>
      <c r="AB9" s="383"/>
      <c r="AC9" s="383"/>
      <c r="AD9" s="383"/>
      <c r="AE9" s="383"/>
      <c r="AF9" s="383"/>
      <c r="AG9" s="383"/>
      <c r="AH9" s="383"/>
      <c r="AI9" s="383"/>
      <c r="AJ9" s="383"/>
      <c r="AK9" s="1274" t="s">
        <v>640</v>
      </c>
      <c r="AM9" s="516"/>
      <c r="AN9" s="516" t="str">
        <f>IF(T9="","",T9)</f>
        <v>Добавить значение признака дифференциации</v>
      </c>
      <c r="AO9" s="516"/>
      <c r="AP9" s="516"/>
      <c r="AQ9" s="1171">
        <v>0</v>
      </c>
    </row>
    <row customHeight="1" ht="21" hidden="1">
      <c r="A10" s="1379"/>
      <c r="B10" s="1379"/>
      <c r="C10" s="1379"/>
      <c r="D10" s="1379"/>
      <c r="E10" s="2275"/>
      <c r="F10" s="2275"/>
      <c r="G10" s="2275"/>
      <c r="H10" s="2275"/>
      <c r="I10" s="2272"/>
      <c r="J10" s="1379"/>
      <c r="K10" s="1379"/>
      <c r="L10" s="1380"/>
      <c r="P10" s="2273"/>
      <c r="Q10" s="1466"/>
      <c r="R10" s="372"/>
      <c r="S10" s="1294"/>
      <c r="T10" s="381" t="s">
        <v>565</v>
      </c>
      <c r="U10" s="383"/>
      <c r="V10" s="383"/>
      <c r="W10" s="383"/>
      <c r="X10" s="383"/>
      <c r="Y10" s="383"/>
      <c r="Z10" s="383"/>
      <c r="AA10" s="383"/>
      <c r="AB10" s="382"/>
      <c r="AC10" s="383"/>
      <c r="AD10" s="383"/>
      <c r="AE10" s="383"/>
      <c r="AF10" s="383"/>
      <c r="AG10" s="383"/>
      <c r="AH10" s="383"/>
      <c r="AI10" s="382"/>
      <c r="AJ10" s="383"/>
      <c r="AK10" s="1456"/>
      <c r="AM10" s="516"/>
      <c r="AN10" s="516" t="str">
        <f>IF(T10="","",T10)</f>
        <v>Добавить группу потребителей</v>
      </c>
      <c r="AO10" s="516"/>
      <c r="AP10" s="516"/>
      <c r="AQ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383"/>
      <c r="X11" s="383"/>
      <c r="Y11" s="383"/>
      <c r="Z11" s="383"/>
      <c r="AA11" s="383"/>
      <c r="AB11" s="382"/>
      <c r="AC11" s="383"/>
      <c r="AD11" s="383"/>
      <c r="AE11" s="383"/>
      <c r="AF11" s="383"/>
      <c r="AG11" s="383"/>
      <c r="AH11" s="383"/>
      <c r="AI11" s="382"/>
      <c r="AJ11" s="383"/>
      <c r="AK11" s="319"/>
      <c r="AM11" s="516"/>
      <c r="AN11" s="516" t="str">
        <f>IF(T11="","",T11)</f>
        <v>Добавить наименование признака дифференциации</v>
      </c>
      <c r="AO11" s="516"/>
      <c r="AP11" s="516"/>
      <c r="AQ11" s="1171">
        <v>0</v>
      </c>
    </row>
    <row s="1658" customFormat="1" customHeight="1" ht="14.25" hidden="1">
      <c r="A12" s="1359"/>
      <c r="B12" s="1359"/>
      <c r="C12" s="1330"/>
      <c r="D12" s="1330"/>
      <c r="E12" s="2275"/>
      <c r="F12" s="2274"/>
      <c r="G12" s="1330"/>
      <c r="H12" s="1330"/>
      <c r="I12" s="1330"/>
      <c r="J12" s="1330"/>
      <c r="K12" s="1330"/>
      <c r="L12" s="1474"/>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M12" s="805"/>
      <c r="AN12" s="805" t="str">
        <f>IF(T12="","",T12)</f>
        <v>Добавить централизованную систему для дифференциации</v>
      </c>
      <c r="AO12" s="805"/>
      <c r="AP12" s="805"/>
      <c r="AQ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M13" s="516"/>
      <c r="AN13" s="516" t="str">
        <f>IF(T13="","",T13)</f>
        <v>Добавить территорию для дифференциации</v>
      </c>
      <c r="AO13" s="516"/>
      <c r="AP13" s="516"/>
      <c r="AQ13" s="527">
        <v>0</v>
      </c>
    </row>
    <row customHeight="1" ht="14.25" hidden="1">
      <c r="AB14" s="343"/>
      <c r="AI14" s="343"/>
      <c r="AQ14" s="1171">
        <v>0</v>
      </c>
    </row>
    <row customHeight="1" ht="14.25" hidden="1">
      <c r="AC15" s="1376"/>
      <c r="AD15" s="1376"/>
      <c r="AE15" s="1377"/>
      <c r="AF15" s="2283"/>
      <c r="AG15" s="2284" t="s">
        <v>64</v>
      </c>
      <c r="AH15" s="2283"/>
      <c r="AI15" s="2284" t="s">
        <v>64</v>
      </c>
      <c r="AQ15" s="1171">
        <v>0</v>
      </c>
    </row>
    <row customHeight="1" ht="14.25" hidden="1">
      <c r="AC16" s="1376"/>
      <c r="AD16" s="1376"/>
      <c r="AE16" s="344" t="str">
        <f>AF15&amp;"-"&amp;AH15</f>
        <v>-</v>
      </c>
      <c r="AF16" s="2284"/>
      <c r="AG16" s="2284"/>
      <c r="AH16" s="2284"/>
      <c r="AI16" s="2284"/>
      <c r="AQ16" s="1171">
        <v>0</v>
      </c>
    </row>
    <row customHeight="1" ht="14.25" hidden="1">
      <c r="AI17" s="343"/>
      <c r="AQ17" s="1171">
        <v>0</v>
      </c>
    </row>
    <row s="1382" customFormat="1" customHeight="1" ht="22.5" hidden="1">
      <c r="L18" s="1463"/>
      <c r="M18" s="1378"/>
      <c r="N18" s="1378"/>
      <c r="O18" s="1383" t="s">
        <v>567</v>
      </c>
      <c r="P18" s="1378"/>
      <c r="Q18" s="1387"/>
      <c r="R18" s="1387"/>
      <c r="S18" s="745"/>
      <c r="Y18" s="1383"/>
      <c r="AA18" s="1383"/>
      <c r="AB18" s="1382"/>
      <c r="AF18" s="1383"/>
      <c r="AH18" s="1383"/>
      <c r="AI18" s="1382"/>
      <c r="AL18" s="527"/>
      <c r="AM18" s="527"/>
      <c r="AN18" s="527"/>
      <c r="AO18" s="527"/>
      <c r="AP18" s="527"/>
      <c r="AQ18" s="1176">
        <v>0</v>
      </c>
    </row>
    <row s="1382" customFormat="1" customHeight="1" ht="14.25" hidden="1">
      <c r="L19" s="1463"/>
      <c r="M19" s="1378"/>
      <c r="N19" s="1378"/>
      <c r="O19" s="1378"/>
      <c r="P19" s="1378"/>
      <c r="Q19" s="1387"/>
      <c r="R19" s="1387"/>
      <c r="S19" s="745"/>
      <c r="AB19" s="1382"/>
      <c r="AI19" s="1382"/>
      <c r="AL19" s="527"/>
      <c r="AM19" s="527"/>
      <c r="AN19" s="527"/>
      <c r="AO19" s="527"/>
      <c r="AP19" s="527"/>
      <c r="AQ19" s="1176">
        <v>0</v>
      </c>
    </row>
    <row s="1382" customFormat="1" customHeight="1" ht="12" hidden="1">
      <c r="L20" s="1463"/>
      <c r="M20" s="1378"/>
      <c r="N20" s="1378"/>
      <c r="O20" s="1380" t="s">
        <v>568</v>
      </c>
      <c r="P20" s="1378"/>
      <c r="Q20" s="1458"/>
      <c r="R20" s="1458"/>
      <c r="S20" s="745"/>
      <c r="T20" s="1176" t="s">
        <v>569</v>
      </c>
      <c r="Z20" s="202" t="s">
        <v>570</v>
      </c>
      <c r="AB20" s="202" t="s">
        <v>571</v>
      </c>
      <c r="AC20" s="1176" t="s">
        <v>569</v>
      </c>
      <c r="AG20" s="202" t="s">
        <v>572</v>
      </c>
      <c r="AI20" s="202" t="s">
        <v>571</v>
      </c>
      <c r="AQ20" s="1176">
        <v>0</v>
      </c>
    </row>
    <row customHeight="1" ht="14.25" hidden="1">
      <c r="O21" s="1380"/>
      <c r="AQ21" s="1171">
        <v>0</v>
      </c>
    </row>
    <row customHeight="1" ht="14.25" hidden="1">
      <c r="O22" s="1380"/>
      <c r="AQ22" s="1171">
        <v>0</v>
      </c>
    </row>
    <row customHeight="1" ht="14.699999999999998">
      <c r="Q23" s="392"/>
      <c r="R23" s="392"/>
      <c r="S23" s="1291"/>
      <c r="T23" s="379"/>
      <c r="U23" s="379"/>
      <c r="V23" s="525"/>
      <c r="W23" s="525"/>
      <c r="X23" s="525"/>
      <c r="Y23" s="525"/>
      <c r="Z23" s="525"/>
      <c r="AA23" s="525"/>
      <c r="AB23" s="525"/>
      <c r="AC23" s="525"/>
      <c r="AD23" s="525"/>
      <c r="AE23" s="525"/>
      <c r="AF23" s="525"/>
      <c r="AG23" s="525"/>
      <c r="AH23" s="525"/>
      <c r="AI23" s="525"/>
      <c r="AQ23" s="1171">
        <v>14</v>
      </c>
    </row>
    <row customHeight="1" ht="14.699999999999998">
      <c r="Q24" s="392"/>
      <c r="R24" s="392"/>
      <c r="S24" s="226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4"/>
      <c r="U24" s="2264"/>
      <c r="V24" s="2264"/>
      <c r="W24" s="2264"/>
      <c r="X24" s="2264"/>
      <c r="Y24" s="2264"/>
      <c r="Z24" s="2264"/>
      <c r="AA24" s="2264"/>
      <c r="AB24" s="2264"/>
      <c r="AC24" s="2264"/>
      <c r="AD24" s="2264"/>
      <c r="AE24" s="2264"/>
      <c r="AF24" s="2264"/>
      <c r="AG24" s="2264"/>
      <c r="AH24" s="2264"/>
      <c r="AI24" s="1259"/>
      <c r="AQ24" s="1171">
        <v>14</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525"/>
      <c r="AQ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342"/>
      <c r="AC27" s="2267" t="str">
        <f>IF(TITLE_NAME_OR_PR_CHANGE="",IF(TITLE_NAME_OR_PR="","",TITLE_NAME_OR_PR),TITLE_NAME_OR_PR_CHANGE)</f>
        <v>Агентство по тарифам Приморского края</v>
      </c>
      <c r="AD27" s="2267"/>
      <c r="AE27" s="2267"/>
      <c r="AF27" s="2267"/>
      <c r="AG27" s="2267"/>
      <c r="AH27" s="2267"/>
      <c r="AI27" s="342"/>
      <c r="AJ27" s="342"/>
      <c r="AK27" s="296"/>
      <c r="AL27" s="384"/>
      <c r="AM27" s="384"/>
      <c r="AN27" s="384"/>
      <c r="AO27" s="384"/>
      <c r="AP27" s="384"/>
      <c r="AQ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342"/>
      <c r="AC28" s="2280" t="str">
        <f>IF(TITLE_DATE_PR_CHANGE="",IF(TITLE_DATE_PR="","",TITLE_DATE_PR),TITLE_DATE_PR_CHANGE)</f>
        <v>45910</v>
      </c>
      <c r="AD28" s="2280"/>
      <c r="AE28" s="2280"/>
      <c r="AF28" s="2280"/>
      <c r="AG28" s="2280"/>
      <c r="AH28" s="2280"/>
      <c r="AI28" s="342"/>
      <c r="AJ28" s="342"/>
      <c r="AK28" s="296"/>
      <c r="AL28" s="384"/>
      <c r="AM28" s="384"/>
      <c r="AN28" s="384"/>
      <c r="AO28" s="384"/>
      <c r="AP28" s="384"/>
      <c r="AQ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342"/>
      <c r="AC29" s="2267" t="str">
        <f>IF(TITLE_NUMBER_PR_CHANGE="",IF(TITLE_NUMBER_PR="","",TITLE_NUMBER_PR),TITLE_NUMBER_PR_CHANGE)</f>
        <v>37/2</v>
      </c>
      <c r="AD29" s="2267"/>
      <c r="AE29" s="2267"/>
      <c r="AF29" s="2267"/>
      <c r="AG29" s="2267"/>
      <c r="AH29" s="2267"/>
      <c r="AI29" s="342"/>
      <c r="AJ29" s="342"/>
      <c r="AK29" s="296"/>
      <c r="AL29" s="384"/>
      <c r="AM29" s="384"/>
      <c r="AN29" s="384"/>
      <c r="AO29" s="384"/>
      <c r="AP29" s="384"/>
      <c r="AQ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342"/>
      <c r="AC30" s="2267" t="str">
        <f>IF(TITLE_IST_PUB_CHANGE="",IF(TITLE_IST_PUB="","",TITLE_IST_PUB),TITLE_IST_PUB_CHANGE)</f>
        <v>http://pravo.gov.ru</v>
      </c>
      <c r="AD30" s="2267"/>
      <c r="AE30" s="2267"/>
      <c r="AF30" s="2267"/>
      <c r="AG30" s="2267"/>
      <c r="AH30" s="2267"/>
      <c r="AI30" s="342"/>
      <c r="AJ30" s="342"/>
      <c r="AK30" s="296"/>
      <c r="AL30" s="384"/>
      <c r="AM30" s="384"/>
      <c r="AN30" s="384"/>
      <c r="AO30" s="384"/>
      <c r="AP30" s="384"/>
      <c r="AQ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525"/>
      <c r="AQ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342"/>
      <c r="AC32" s="2280" t="str">
        <f>IF(TITLE_DATE_PR_CHANGE="",IF(TITLE_DATE_PR="","",TITLE_DATE_PR),TITLE_DATE_PR_CHANGE)</f>
        <v>45910</v>
      </c>
      <c r="AD32" s="2280"/>
      <c r="AE32" s="2280"/>
      <c r="AF32" s="2280"/>
      <c r="AG32" s="2280"/>
      <c r="AH32" s="2280"/>
      <c r="AI32" s="342"/>
      <c r="AJ32" s="342"/>
      <c r="AK32" s="296"/>
      <c r="AL32" s="384"/>
      <c r="AM32" s="384"/>
      <c r="AN32" s="384"/>
      <c r="AO32" s="384"/>
      <c r="AP32" s="384"/>
      <c r="AQ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342"/>
      <c r="AC33" s="2267" t="str">
        <f>IF(TITLE_NUMBER_PR_CHANGE="",IF(TITLE_NUMBER_PR="","",TITLE_NUMBER_PR),TITLE_NUMBER_PR_CHANGE)</f>
        <v>37/2</v>
      </c>
      <c r="AD33" s="2267"/>
      <c r="AE33" s="2267"/>
      <c r="AF33" s="2267"/>
      <c r="AG33" s="2267"/>
      <c r="AH33" s="2267"/>
      <c r="AI33" s="342"/>
      <c r="AJ33" s="342"/>
      <c r="AK33" s="296"/>
      <c r="AL33" s="384"/>
      <c r="AM33" s="384"/>
      <c r="AN33" s="384"/>
      <c r="AO33" s="384"/>
      <c r="AP33" s="384"/>
      <c r="AQ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470"/>
      <c r="V34" s="342"/>
      <c r="W34" s="342"/>
      <c r="X34" s="342"/>
      <c r="Y34" s="342"/>
      <c r="Z34" s="342"/>
      <c r="AA34" s="342"/>
      <c r="AB34" s="294" t="s">
        <v>577</v>
      </c>
      <c r="AC34" s="342"/>
      <c r="AD34" s="342"/>
      <c r="AE34" s="342"/>
      <c r="AF34" s="342"/>
      <c r="AG34" s="342"/>
      <c r="AH34" s="342"/>
      <c r="AI34" s="294" t="s">
        <v>577</v>
      </c>
      <c r="AL34" s="384"/>
      <c r="AM34" s="384"/>
      <c r="AN34" s="384"/>
      <c r="AO34" s="384"/>
      <c r="AP34" s="384"/>
      <c r="AQ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Q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t="s">
        <v>454</v>
      </c>
      <c r="AQ36" s="1171">
        <v>14</v>
      </c>
    </row>
    <row customHeight="1" ht="14.699999999999998">
      <c r="Q37" s="392"/>
      <c r="R37" s="392"/>
      <c r="S37" s="2289" t="s">
        <v>91</v>
      </c>
      <c r="T37" s="2225" t="s">
        <v>578</v>
      </c>
      <c r="U37" s="317"/>
      <c r="V37" s="2290" t="s">
        <v>579</v>
      </c>
      <c r="W37" s="2291"/>
      <c r="X37" s="2291"/>
      <c r="Y37" s="2291"/>
      <c r="Z37" s="2291"/>
      <c r="AA37" s="2292"/>
      <c r="AB37" s="2293" t="s">
        <v>580</v>
      </c>
      <c r="AC37" s="2290" t="s">
        <v>579</v>
      </c>
      <c r="AD37" s="2291"/>
      <c r="AE37" s="2291"/>
      <c r="AF37" s="2291"/>
      <c r="AG37" s="2291"/>
      <c r="AH37" s="2292"/>
      <c r="AI37" s="2293" t="s">
        <v>581</v>
      </c>
      <c r="AJ37" s="2296" t="s">
        <v>582</v>
      </c>
      <c r="AK37" s="2143"/>
      <c r="AQ37" s="1171">
        <v>14</v>
      </c>
    </row>
    <row customHeight="1" ht="35.699999999999996">
      <c r="Q38" s="392"/>
      <c r="R38" s="392"/>
      <c r="S38" s="2289"/>
      <c r="T38" s="2225"/>
      <c r="U38" s="1047"/>
      <c r="V38" s="1468" t="s">
        <v>642</v>
      </c>
      <c r="W38" s="2278" t="s">
        <v>585</v>
      </c>
      <c r="X38" s="2279"/>
      <c r="Y38" s="2278" t="s">
        <v>586</v>
      </c>
      <c r="Z38" s="2285"/>
      <c r="AA38" s="2279"/>
      <c r="AB38" s="2294"/>
      <c r="AC38" s="1468" t="s">
        <v>642</v>
      </c>
      <c r="AD38" s="2278" t="s">
        <v>585</v>
      </c>
      <c r="AE38" s="2279"/>
      <c r="AF38" s="2278" t="s">
        <v>586</v>
      </c>
      <c r="AG38" s="2285"/>
      <c r="AH38" s="2279"/>
      <c r="AI38" s="2294"/>
      <c r="AJ38" s="2297"/>
      <c r="AK38" s="2143"/>
      <c r="AQ38" s="1171">
        <v>34</v>
      </c>
    </row>
    <row customHeight="1" ht="35.699999999999996">
      <c r="A39" s="1386"/>
      <c r="B39" s="1386" t="s">
        <v>204</v>
      </c>
      <c r="C39" s="1386" t="s">
        <v>205</v>
      </c>
      <c r="D39" s="1386" t="s">
        <v>206</v>
      </c>
      <c r="E39" s="1380" t="s">
        <v>587</v>
      </c>
      <c r="F39" s="1380" t="s">
        <v>588</v>
      </c>
      <c r="G39" s="1380" t="s">
        <v>589</v>
      </c>
      <c r="H39" s="1380"/>
      <c r="I39" s="1380" t="s">
        <v>643</v>
      </c>
      <c r="J39" s="1380" t="s">
        <v>592</v>
      </c>
      <c r="K39" s="1380" t="s">
        <v>644</v>
      </c>
      <c r="L39" s="1380" t="s">
        <v>568</v>
      </c>
      <c r="Q39" s="392"/>
      <c r="R39" s="392"/>
      <c r="S39" s="2289"/>
      <c r="T39" s="2225"/>
      <c r="U39" s="318"/>
      <c r="V39" s="1468" t="s">
        <v>645</v>
      </c>
      <c r="W39" s="1238" t="s">
        <v>646</v>
      </c>
      <c r="X39" s="1238" t="s">
        <v>647</v>
      </c>
      <c r="Y39" s="1471" t="s">
        <v>596</v>
      </c>
      <c r="Z39" s="2286" t="s">
        <v>597</v>
      </c>
      <c r="AA39" s="2287"/>
      <c r="AB39" s="2295"/>
      <c r="AC39" s="1468" t="s">
        <v>645</v>
      </c>
      <c r="AD39" s="1238" t="s">
        <v>646</v>
      </c>
      <c r="AE39" s="1238" t="s">
        <v>647</v>
      </c>
      <c r="AF39" s="1471" t="s">
        <v>596</v>
      </c>
      <c r="AG39" s="2286" t="s">
        <v>597</v>
      </c>
      <c r="AH39" s="2287"/>
      <c r="AI39" s="2295"/>
      <c r="AJ39" s="2298"/>
      <c r="AK39" s="2143"/>
      <c r="AQ39" s="1171">
        <v>34</v>
      </c>
    </row>
    <row s="1657" customFormat="1" customHeight="1" ht="0">
      <c r="A40" s="1386"/>
      <c r="B40" s="1386"/>
      <c r="C40" s="1386"/>
      <c r="D40" s="1386"/>
      <c r="E40" s="1386"/>
      <c r="F40" s="1386"/>
      <c r="G40" s="1386"/>
      <c r="H40" s="1386"/>
      <c r="I40" s="1386"/>
      <c r="J40" s="1386"/>
      <c r="K40" s="1386"/>
      <c r="L40" s="1380"/>
      <c r="M40" s="1378"/>
      <c r="N40" s="1378"/>
      <c r="O40" s="1378"/>
      <c r="P40" s="1262"/>
      <c r="Q40" s="1263"/>
      <c r="R40" s="1270">
        <v>1</v>
      </c>
      <c r="S40" s="1293" t="s">
        <v>141</v>
      </c>
      <c r="T40" s="1271" t="s">
        <v>107</v>
      </c>
      <c r="U40" s="1261" t="str">
        <f>OFFSET(U40,0,-1)</f>
        <v>2</v>
      </c>
      <c r="V40" s="1467">
        <f>OFFSET(V40,0,-1)+1</f>
        <v>3</v>
      </c>
      <c r="W40" s="1467">
        <f>OFFSET(W40,0,-1)+1</f>
        <v>4</v>
      </c>
      <c r="X40" s="1467">
        <f>OFFSET(X40,0,-1)+1</f>
        <v>5</v>
      </c>
      <c r="Y40" s="1467">
        <f>OFFSET(Y40,0,-1)+1</f>
        <v>6</v>
      </c>
      <c r="Z40" s="2288">
        <f>OFFSET(Z40,0,-1)+1</f>
        <v>7</v>
      </c>
      <c r="AA40" s="2288"/>
      <c r="AB40" s="1467">
        <f>OFFSET(AB40,0,-2)+1</f>
        <v>8</v>
      </c>
      <c r="AC40" s="1467">
        <f>OFFSET(AC40,0,-1)+1</f>
        <v>9</v>
      </c>
      <c r="AD40" s="1467">
        <f>OFFSET(AD40,0,-1)+1</f>
        <v>10</v>
      </c>
      <c r="AE40" s="1467">
        <f>OFFSET(AE40,0,-1)+1</f>
        <v>11</v>
      </c>
      <c r="AF40" s="1467">
        <f>OFFSET(AF40,0,-1)+1</f>
        <v>12</v>
      </c>
      <c r="AG40" s="2288">
        <f>OFFSET(AG40,0,-1)+1</f>
        <v>13</v>
      </c>
      <c r="AH40" s="2288"/>
      <c r="AI40" s="1467">
        <f>OFFSET(AI40,0,-2)+1</f>
        <v>14</v>
      </c>
      <c r="AJ40" s="1261">
        <f>OFFSET(AJ40,0,-1)</f>
        <v>14</v>
      </c>
      <c r="AK40" s="1467">
        <f>OFFSET(AK40,0,-1)+1</f>
        <v>15</v>
      </c>
      <c r="AL40" s="527"/>
      <c r="AM40" s="527"/>
      <c r="AN40" s="527"/>
      <c r="AO40" s="527"/>
      <c r="AP40" s="527"/>
      <c r="AQ40" s="512">
        <v>0</v>
      </c>
    </row>
    <row customHeight="1" ht="24">
      <c r="A41" s="1379" t="s">
        <v>394</v>
      </c>
      <c r="B41" s="1379"/>
      <c r="C41" s="1379"/>
      <c r="D41" s="1379"/>
      <c r="E41" s="2274">
        <v>1</v>
      </c>
      <c r="F41" s="1379"/>
      <c r="G41" s="1379"/>
      <c r="H41" s="1379"/>
      <c r="I41" s="1379"/>
      <c r="J41" s="1379"/>
      <c r="K41" s="1379"/>
      <c r="L41" s="1380"/>
      <c r="M41" s="1381"/>
      <c r="N41" s="1381"/>
      <c r="O41" s="1381"/>
      <c r="P41" s="377"/>
      <c r="Q41" s="376"/>
      <c r="R41" s="371"/>
      <c r="S41" s="1473">
        <f>INDEX(PT_DIFFERENTIATION_NUM_NTAR,MATCH(A41,PT_DIFFERENTIATION_NTAR_ID,0))</f>
        <v>0</v>
      </c>
      <c r="T41" s="314" t="s">
        <v>192</v>
      </c>
      <c r="U41" s="316"/>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6"/>
      <c r="AN41" s="516" t="str">
        <f>IF(T41="","",T41)</f>
        <v>Наименование тарифа</v>
      </c>
      <c r="AO41" s="516"/>
      <c r="AP41" s="516"/>
      <c r="AQ41" s="1171">
        <v>23</v>
      </c>
    </row>
    <row customHeight="1" ht="24">
      <c r="A42" s="1379" t="s">
        <v>394</v>
      </c>
      <c r="B42" s="1379" t="s">
        <v>395</v>
      </c>
      <c r="C42" s="1379"/>
      <c r="D42" s="1379"/>
      <c r="E42" s="2275"/>
      <c r="F42" s="2274">
        <v>1</v>
      </c>
      <c r="G42" s="1379"/>
      <c r="H42" s="1379"/>
      <c r="I42" s="1379"/>
      <c r="J42" s="1379"/>
      <c r="K42" s="1379"/>
      <c r="L42" s="1380"/>
      <c r="M42" s="1381"/>
      <c r="N42" s="1381"/>
      <c r="O42" s="1381"/>
      <c r="P42" s="1469"/>
      <c r="Q42" s="368"/>
      <c r="R42" s="369"/>
      <c r="S42" s="1473" t="str">
        <f>INDEX(PT_DIFFERENTIATION_NUM_TER,MATCH(B42,PT_DIFFERENTIATION_TER_ID,0))</f>
        <v>.</v>
      </c>
      <c r="T42" s="324" t="s">
        <v>550</v>
      </c>
      <c r="U42" s="316"/>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74" t="s">
        <v>551</v>
      </c>
      <c r="AM42" s="516"/>
      <c r="AN42" s="516" t="str">
        <f>IF(T42="","",T42)</f>
        <v>Территория действия тарифа</v>
      </c>
      <c r="AO42" s="516"/>
      <c r="AP42" s="516"/>
      <c r="AQ42" s="1171">
        <v>23</v>
      </c>
    </row>
    <row customHeight="1" ht="24">
      <c r="A43" s="1379" t="s">
        <v>394</v>
      </c>
      <c r="B43" s="1379" t="s">
        <v>395</v>
      </c>
      <c r="C43" s="1379" t="s">
        <v>396</v>
      </c>
      <c r="D43" s="1379"/>
      <c r="E43" s="2275"/>
      <c r="F43" s="2275"/>
      <c r="G43" s="2274">
        <v>1</v>
      </c>
      <c r="H43" s="1379"/>
      <c r="I43" s="1379"/>
      <c r="J43" s="1379"/>
      <c r="K43" s="1379"/>
      <c r="L43" s="1380"/>
      <c r="M43" s="1381"/>
      <c r="N43" s="1381"/>
      <c r="O43" s="1381"/>
      <c r="P43" s="370"/>
      <c r="Q43" s="368"/>
      <c r="R43" s="369"/>
      <c r="S43" s="1473" t="str">
        <f>INDEX(PT_DIFFERENTIATION_NUM_CS,MATCH(C43,PT_DIFFERENTIATION_CS_ID,0))</f>
        <v>..</v>
      </c>
      <c r="T43" s="325" t="s">
        <v>634</v>
      </c>
      <c r="U43" s="316"/>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74" t="s">
        <v>635</v>
      </c>
      <c r="AM43" s="516"/>
      <c r="AN43" s="516" t="str">
        <f>IF(T43="","",T43)</f>
        <v>Наименование централизованной системы холодного водоснабжения</v>
      </c>
      <c r="AO43" s="516"/>
      <c r="AP43" s="516"/>
      <c r="AQ43" s="1171">
        <v>23</v>
      </c>
    </row>
    <row customHeight="1" ht="24">
      <c r="A44" s="1379" t="s">
        <v>394</v>
      </c>
      <c r="B44" s="1379" t="s">
        <v>395</v>
      </c>
      <c r="C44" s="1379" t="s">
        <v>396</v>
      </c>
      <c r="D44" s="1379" t="s">
        <v>651</v>
      </c>
      <c r="E44" s="2275"/>
      <c r="F44" s="2275"/>
      <c r="G44" s="2275"/>
      <c r="H44" s="2275"/>
      <c r="I44" s="2272" t="str">
        <f>S43&amp;".1"</f>
        <v>...1</v>
      </c>
      <c r="J44" s="1379"/>
      <c r="K44" s="1379"/>
      <c r="L44" s="1380"/>
      <c r="P44" s="2273">
        <v>1</v>
      </c>
      <c r="Q44" s="1466"/>
      <c r="R44" s="372"/>
      <c r="S44" s="1473" t="str">
        <f>$I44</f>
        <v>...1</v>
      </c>
      <c r="T44" s="301" t="s">
        <v>636</v>
      </c>
      <c r="U44" s="316"/>
      <c r="V44" s="2366"/>
      <c r="W44" s="2367"/>
      <c r="X44" s="2367"/>
      <c r="Y44" s="2367"/>
      <c r="Z44" s="2367"/>
      <c r="AA44" s="2367"/>
      <c r="AB44" s="2368"/>
      <c r="AC44" s="2369"/>
      <c r="AD44" s="2370"/>
      <c r="AE44" s="2370"/>
      <c r="AF44" s="2370"/>
      <c r="AG44" s="2370"/>
      <c r="AH44" s="2370"/>
      <c r="AI44" s="2370"/>
      <c r="AJ44" s="2371"/>
      <c r="AK44" s="1274" t="s">
        <v>637</v>
      </c>
      <c r="AM44" s="516"/>
      <c r="AN44" s="516" t="str">
        <f>IF(T44="","",T44)</f>
        <v>Наименование признака дифференциации</v>
      </c>
      <c r="AO44" s="516"/>
      <c r="AP44" s="516"/>
      <c r="AQ44" s="1171">
        <v>23</v>
      </c>
    </row>
    <row customHeight="1" ht="24">
      <c r="A45" s="1379" t="s">
        <v>394</v>
      </c>
      <c r="B45" s="1379" t="s">
        <v>395</v>
      </c>
      <c r="C45" s="1379" t="s">
        <v>396</v>
      </c>
      <c r="D45" s="1379" t="s">
        <v>651</v>
      </c>
      <c r="E45" s="2275"/>
      <c r="F45" s="2275"/>
      <c r="G45" s="2275"/>
      <c r="H45" s="2275"/>
      <c r="I45" s="2302"/>
      <c r="J45" s="2272" t="str">
        <f>I44&amp;".1"</f>
        <v>...1.1</v>
      </c>
      <c r="K45" s="1379"/>
      <c r="L45" s="1380" t="s">
        <v>559</v>
      </c>
      <c r="P45" s="2273"/>
      <c r="Q45" s="2273">
        <v>1</v>
      </c>
      <c r="R45" s="373"/>
      <c r="S45" s="1473" t="str">
        <f>$J45</f>
        <v>...1.1</v>
      </c>
      <c r="T45" s="302" t="s">
        <v>560</v>
      </c>
      <c r="U45" s="316"/>
      <c r="V45" s="2261"/>
      <c r="W45" s="2262"/>
      <c r="X45" s="2262"/>
      <c r="Y45" s="2262"/>
      <c r="Z45" s="2262"/>
      <c r="AA45" s="2262"/>
      <c r="AB45" s="2263"/>
      <c r="AC45" s="2261"/>
      <c r="AD45" s="2262"/>
      <c r="AE45" s="2262"/>
      <c r="AF45" s="2262"/>
      <c r="AG45" s="2262"/>
      <c r="AH45" s="2262"/>
      <c r="AI45" s="2262"/>
      <c r="AJ45" s="2263"/>
      <c r="AK45" s="1323" t="s">
        <v>638</v>
      </c>
      <c r="AM45" s="516"/>
      <c r="AN45" s="516" t="str">
        <f>IF(T45="","",T45)</f>
        <v>Группа потребителей</v>
      </c>
      <c r="AO45" s="516"/>
      <c r="AP45" s="516"/>
      <c r="AQ45" s="1171">
        <v>23</v>
      </c>
    </row>
    <row customHeight="1" ht="24">
      <c r="A46" s="1379" t="s">
        <v>394</v>
      </c>
      <c r="B46" s="1379" t="s">
        <v>395</v>
      </c>
      <c r="C46" s="1379" t="s">
        <v>396</v>
      </c>
      <c r="D46" s="1379" t="s">
        <v>651</v>
      </c>
      <c r="E46" s="2275"/>
      <c r="F46" s="2275"/>
      <c r="G46" s="2275"/>
      <c r="H46" s="2275"/>
      <c r="I46" s="2302"/>
      <c r="J46" s="2302"/>
      <c r="K46" s="2272" t="str">
        <f>J45&amp;".1"</f>
        <v>...1.1.1</v>
      </c>
      <c r="L46" s="1380"/>
      <c r="P46" s="2273"/>
      <c r="Q46" s="2273"/>
      <c r="R46" s="373">
        <v>1</v>
      </c>
      <c r="S46" s="1473" t="str">
        <f>$K46</f>
        <v>...1.1.1</v>
      </c>
      <c r="T46" s="1453"/>
      <c r="U46" s="316"/>
      <c r="V46" s="767"/>
      <c r="W46" s="767"/>
      <c r="X46" s="1273"/>
      <c r="Y46" s="2281"/>
      <c r="Z46" s="2123" t="s">
        <v>64</v>
      </c>
      <c r="AA46" s="2281"/>
      <c r="AB46" s="2123" t="s">
        <v>64</v>
      </c>
      <c r="AC46" s="767"/>
      <c r="AD46" s="767"/>
      <c r="AE46" s="1273"/>
      <c r="AF46" s="2281"/>
      <c r="AG46" s="2123" t="s">
        <v>64</v>
      </c>
      <c r="AH46" s="2303"/>
      <c r="AI46" s="2123" t="s">
        <v>64</v>
      </c>
      <c r="AJ46" s="1454"/>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7">
        <f>STRCHECKDATE(V47:AJ47)</f>
      </c>
      <c r="AM46" s="516"/>
      <c r="AN46" s="516" t="str">
        <f>IF(T46="","",T46)</f>
        <v/>
      </c>
      <c r="AO46" s="516"/>
      <c r="AP46" s="516"/>
      <c r="AQ46" s="1171">
        <v>23</v>
      </c>
    </row>
    <row customHeight="1" ht="0">
      <c r="A47" s="1379" t="s">
        <v>394</v>
      </c>
      <c r="B47" s="1379" t="s">
        <v>395</v>
      </c>
      <c r="C47" s="1379" t="s">
        <v>396</v>
      </c>
      <c r="D47" s="1379" t="s">
        <v>651</v>
      </c>
      <c r="E47" s="2275"/>
      <c r="F47" s="2275"/>
      <c r="G47" s="2275"/>
      <c r="H47" s="2275"/>
      <c r="I47" s="2302"/>
      <c r="J47" s="2302"/>
      <c r="K47" s="2272"/>
      <c r="L47" s="1380"/>
      <c r="P47" s="2273"/>
      <c r="Q47" s="2273"/>
      <c r="R47" s="373"/>
      <c r="S47" s="1472"/>
      <c r="T47" s="316"/>
      <c r="U47" s="316"/>
      <c r="V47" s="341"/>
      <c r="W47" s="341"/>
      <c r="X47" s="344" t="str">
        <f>Y46&amp;"-"&amp;AA46</f>
        <v>-</v>
      </c>
      <c r="Y47" s="2282"/>
      <c r="Z47" s="2123"/>
      <c r="AA47" s="2282"/>
      <c r="AB47" s="2123"/>
      <c r="AC47" s="341"/>
      <c r="AD47" s="341"/>
      <c r="AE47" s="344" t="str">
        <f>AF46&amp;"-"&amp;AH46</f>
        <v>-</v>
      </c>
      <c r="AF47" s="2282"/>
      <c r="AG47" s="2123"/>
      <c r="AH47" s="2304"/>
      <c r="AI47" s="2123"/>
      <c r="AJ47" s="1455"/>
      <c r="AK47" s="2365"/>
      <c r="AM47" s="516"/>
      <c r="AN47" s="516" t="str">
        <f>IF(T47="","",T47)</f>
        <v/>
      </c>
      <c r="AO47" s="516"/>
      <c r="AP47" s="516"/>
      <c r="AQ47" s="1171">
        <v>0</v>
      </c>
    </row>
    <row customHeight="1" ht="21">
      <c r="A48" s="1379" t="s">
        <v>394</v>
      </c>
      <c r="B48" s="1379" t="s">
        <v>395</v>
      </c>
      <c r="C48" s="1379" t="s">
        <v>396</v>
      </c>
      <c r="D48" s="1379" t="s">
        <v>651</v>
      </c>
      <c r="E48" s="2275"/>
      <c r="F48" s="2275"/>
      <c r="G48" s="2275"/>
      <c r="H48" s="2275"/>
      <c r="I48" s="2302"/>
      <c r="J48" s="2272"/>
      <c r="K48" s="1379"/>
      <c r="L48" s="1380"/>
      <c r="P48" s="2273"/>
      <c r="Q48" s="2273"/>
      <c r="R48" s="372"/>
      <c r="S48" s="1294"/>
      <c r="T48" s="303" t="s">
        <v>639</v>
      </c>
      <c r="U48" s="383"/>
      <c r="V48" s="383"/>
      <c r="W48" s="383"/>
      <c r="X48" s="383"/>
      <c r="Y48" s="383"/>
      <c r="Z48" s="383"/>
      <c r="AA48" s="383"/>
      <c r="AB48" s="383"/>
      <c r="AC48" s="383"/>
      <c r="AD48" s="383"/>
      <c r="AE48" s="383"/>
      <c r="AF48" s="383"/>
      <c r="AG48" s="383"/>
      <c r="AH48" s="383"/>
      <c r="AI48" s="383"/>
      <c r="AJ48" s="383"/>
      <c r="AK48" s="1274" t="s">
        <v>640</v>
      </c>
      <c r="AM48" s="516"/>
      <c r="AN48" s="516" t="str">
        <f>IF(T48="","",T48)</f>
        <v>Добавить значение признака дифференциации</v>
      </c>
      <c r="AO48" s="516"/>
      <c r="AP48" s="516"/>
      <c r="AQ48" s="1171">
        <v>20</v>
      </c>
    </row>
    <row customHeight="1" ht="22.049999999999997">
      <c r="A49" s="1379" t="s">
        <v>394</v>
      </c>
      <c r="B49" s="1379" t="s">
        <v>395</v>
      </c>
      <c r="C49" s="1379" t="s">
        <v>396</v>
      </c>
      <c r="D49" s="1379" t="s">
        <v>651</v>
      </c>
      <c r="E49" s="2275"/>
      <c r="F49" s="2275"/>
      <c r="G49" s="2275"/>
      <c r="H49" s="2275"/>
      <c r="I49" s="2272"/>
      <c r="J49" s="1379"/>
      <c r="K49" s="1379"/>
      <c r="L49" s="1380"/>
      <c r="P49" s="2273"/>
      <c r="Q49" s="1466"/>
      <c r="R49" s="372"/>
      <c r="S49" s="1294"/>
      <c r="T49" s="381" t="s">
        <v>565</v>
      </c>
      <c r="U49" s="383"/>
      <c r="V49" s="383"/>
      <c r="W49" s="383"/>
      <c r="X49" s="383"/>
      <c r="Y49" s="383"/>
      <c r="Z49" s="383"/>
      <c r="AA49" s="383"/>
      <c r="AB49" s="382"/>
      <c r="AC49" s="383"/>
      <c r="AD49" s="383"/>
      <c r="AE49" s="383"/>
      <c r="AF49" s="383"/>
      <c r="AG49" s="383"/>
      <c r="AH49" s="383"/>
      <c r="AI49" s="382"/>
      <c r="AJ49" s="383"/>
      <c r="AK49" s="1456"/>
      <c r="AM49" s="516"/>
      <c r="AN49" s="516" t="str">
        <f>IF(T49="","",T49)</f>
        <v>Добавить группу потребителей</v>
      </c>
      <c r="AO49" s="516"/>
      <c r="AP49" s="516"/>
      <c r="AQ49" s="1171">
        <v>21</v>
      </c>
    </row>
    <row customHeight="1" ht="22.049999999999997">
      <c r="A50" s="1379" t="s">
        <v>394</v>
      </c>
      <c r="B50" s="1379" t="s">
        <v>395</v>
      </c>
      <c r="C50" s="1379" t="s">
        <v>396</v>
      </c>
      <c r="D50" s="1379" t="s">
        <v>651</v>
      </c>
      <c r="E50" s="2275"/>
      <c r="F50" s="2275"/>
      <c r="G50" s="2275"/>
      <c r="H50" s="2274"/>
      <c r="I50" s="1379"/>
      <c r="J50" s="1379"/>
      <c r="K50" s="1379"/>
      <c r="L50" s="1380"/>
      <c r="M50" s="1381"/>
      <c r="N50" s="1381"/>
      <c r="O50" s="553"/>
      <c r="P50" s="376"/>
      <c r="Q50" s="391"/>
      <c r="R50" s="371"/>
      <c r="S50" s="1294"/>
      <c r="T50" s="388" t="s">
        <v>641</v>
      </c>
      <c r="U50" s="383"/>
      <c r="V50" s="383"/>
      <c r="W50" s="383"/>
      <c r="X50" s="383"/>
      <c r="Y50" s="383"/>
      <c r="Z50" s="383"/>
      <c r="AA50" s="383"/>
      <c r="AB50" s="382"/>
      <c r="AC50" s="383"/>
      <c r="AD50" s="383"/>
      <c r="AE50" s="383"/>
      <c r="AF50" s="383"/>
      <c r="AG50" s="383"/>
      <c r="AH50" s="383"/>
      <c r="AI50" s="382"/>
      <c r="AJ50" s="383"/>
      <c r="AK50" s="319"/>
      <c r="AM50" s="516"/>
      <c r="AN50" s="516" t="str">
        <f>IF(T50="","",T50)</f>
        <v>Добавить наименование признака дифференциации</v>
      </c>
      <c r="AO50" s="516"/>
      <c r="AP50" s="516"/>
      <c r="AQ50" s="1171">
        <v>21</v>
      </c>
    </row>
    <row s="1658" customFormat="1" customHeight="1" ht="0">
      <c r="A51" s="1359" t="s">
        <v>394</v>
      </c>
      <c r="B51" s="1359" t="s">
        <v>395</v>
      </c>
      <c r="C51" s="1330"/>
      <c r="D51" s="1330"/>
      <c r="E51" s="2275"/>
      <c r="F51" s="2274"/>
      <c r="G51" s="1330"/>
      <c r="H51" s="1330"/>
      <c r="I51" s="1330"/>
      <c r="J51" s="1330"/>
      <c r="K51" s="1330"/>
      <c r="L51" s="1474"/>
      <c r="M51" s="1337"/>
      <c r="N51" s="1337"/>
      <c r="P51" s="1332"/>
      <c r="Q51" s="1333"/>
      <c r="R51" s="1332"/>
      <c r="S51" s="1338"/>
      <c r="T51" s="1341" t="s">
        <v>269</v>
      </c>
      <c r="U51" s="1340"/>
      <c r="V51" s="1340"/>
      <c r="W51" s="1340"/>
      <c r="X51" s="1340"/>
      <c r="Y51" s="1340"/>
      <c r="Z51" s="1340"/>
      <c r="AA51" s="1340"/>
      <c r="AB51" s="1340"/>
      <c r="AC51" s="1340"/>
      <c r="AD51" s="1340"/>
      <c r="AE51" s="1340"/>
      <c r="AF51" s="1340"/>
      <c r="AG51" s="1340"/>
      <c r="AH51" s="1340"/>
      <c r="AI51" s="1340"/>
      <c r="AJ51" s="1340"/>
      <c r="AK51" s="1340"/>
      <c r="AM51" s="805"/>
      <c r="AN51" s="805" t="str">
        <f>IF(T51="","",T51)</f>
        <v>Добавить централизованную систему для дифференциации</v>
      </c>
      <c r="AO51" s="805"/>
      <c r="AP51" s="805"/>
      <c r="AQ51" s="534">
        <v>0</v>
      </c>
    </row>
    <row s="1658" customFormat="1" customHeight="1" ht="0">
      <c r="A52" s="1359" t="s">
        <v>394</v>
      </c>
      <c r="B52" s="1359"/>
      <c r="C52" s="1359"/>
      <c r="D52" s="1359"/>
      <c r="E52" s="2274"/>
      <c r="F52" s="1359"/>
      <c r="G52" s="1359"/>
      <c r="H52" s="1359"/>
      <c r="I52" s="1359"/>
      <c r="J52" s="1359"/>
      <c r="K52" s="1359"/>
      <c r="L52" s="1362"/>
      <c r="M52" s="1337"/>
      <c r="N52" s="1337"/>
      <c r="O52" s="534"/>
      <c r="P52" s="396"/>
      <c r="Q52" s="1360"/>
      <c r="R52" s="396"/>
      <c r="S52" s="1338"/>
      <c r="T52" s="1341" t="s">
        <v>330</v>
      </c>
      <c r="U52" s="1340"/>
      <c r="V52" s="1340"/>
      <c r="W52" s="1340"/>
      <c r="X52" s="1340"/>
      <c r="Y52" s="1340"/>
      <c r="Z52" s="1340"/>
      <c r="AA52" s="1340"/>
      <c r="AB52" s="1340"/>
      <c r="AC52" s="1340"/>
      <c r="AD52" s="1340"/>
      <c r="AE52" s="1340"/>
      <c r="AF52" s="1340"/>
      <c r="AG52" s="1340"/>
      <c r="AH52" s="1340"/>
      <c r="AI52" s="1340"/>
      <c r="AJ52" s="1340"/>
      <c r="AK52" s="1340"/>
      <c r="AM52" s="516"/>
      <c r="AN52" s="516" t="str">
        <f>IF(T52="","",T52)</f>
        <v>Добавить территорию для дифференциации</v>
      </c>
      <c r="AO52" s="516"/>
      <c r="AP52" s="516"/>
      <c r="AQ52" s="527">
        <v>0</v>
      </c>
    </row>
    <row s="1658" customFormat="1" customHeight="1" ht="0">
      <c r="A53" s="1330"/>
      <c r="B53" s="1330"/>
      <c r="C53" s="1330"/>
      <c r="D53" s="1330"/>
      <c r="E53" s="1359"/>
      <c r="F53" s="1330"/>
      <c r="G53" s="1330"/>
      <c r="H53" s="1330"/>
      <c r="I53" s="1330"/>
      <c r="J53" s="1330"/>
      <c r="K53" s="1330"/>
      <c r="L53" s="1474"/>
      <c r="M53" s="1337"/>
      <c r="N53" s="1337"/>
      <c r="P53" s="1332"/>
      <c r="Q53" s="1333"/>
      <c r="R53" s="1332"/>
      <c r="S53" s="1338"/>
      <c r="T53" s="1341" t="s">
        <v>356</v>
      </c>
      <c r="U53" s="1340"/>
      <c r="V53" s="1340"/>
      <c r="W53" s="1340"/>
      <c r="X53" s="1340"/>
      <c r="Y53" s="1340"/>
      <c r="Z53" s="1340"/>
      <c r="AA53" s="1340"/>
      <c r="AB53" s="1340"/>
      <c r="AC53" s="1340"/>
      <c r="AD53" s="1340"/>
      <c r="AE53" s="1340"/>
      <c r="AF53" s="1340"/>
      <c r="AG53" s="1340"/>
      <c r="AH53" s="1340"/>
      <c r="AI53" s="1340"/>
      <c r="AJ53" s="1340"/>
      <c r="AK53" s="1340"/>
      <c r="AM53" s="805"/>
      <c r="AN53" s="805" t="str">
        <f>IF(T53="","",T53)</f>
        <v>Добавить наименование тарифа</v>
      </c>
      <c r="AO53" s="805"/>
      <c r="AP53" s="805"/>
      <c r="AQ53" s="534">
        <v>0</v>
      </c>
    </row>
    <row customHeight="1" ht="11.549999999999999">
      <c r="M54" s="1176"/>
      <c r="N54" s="1176"/>
      <c r="O54" s="553"/>
      <c r="P54" s="1171"/>
      <c r="Q54" s="1171"/>
      <c r="R54" s="1171"/>
      <c r="S54" s="1171"/>
      <c r="AL54" s="1171"/>
      <c r="AM54" s="1171"/>
      <c r="AN54" s="1171"/>
      <c r="AO54" s="1171"/>
      <c r="AP54" s="1171"/>
      <c r="AQ54" s="1171">
        <v>11</v>
      </c>
    </row>
    <row customHeight="1" ht="14.699999999999998">
      <c r="O55" s="553"/>
      <c r="S55" s="1269"/>
      <c r="T55" s="2301"/>
      <c r="U55" s="2301"/>
      <c r="V55" s="2301"/>
      <c r="W55" s="2301"/>
      <c r="X55" s="2301"/>
      <c r="Y55" s="2301"/>
      <c r="Z55" s="2301"/>
      <c r="AA55" s="2301"/>
      <c r="AB55" s="2301"/>
      <c r="AC55" s="2301"/>
      <c r="AD55" s="2301"/>
      <c r="AE55" s="2301"/>
      <c r="AF55" s="2301"/>
      <c r="AG55" s="2301"/>
      <c r="AH55" s="2301"/>
      <c r="AI55" s="2301"/>
      <c r="AJ55" s="2301"/>
      <c r="AK55" s="2301"/>
      <c r="AQ55" s="1171">
        <v>14</v>
      </c>
    </row>
    <row customHeight="1" ht="14.699999999999998">
      <c r="O56" s="553"/>
      <c r="AQ56" s="1171">
        <v>14</v>
      </c>
    </row>
    <row customHeight="1" ht="14.699999999999998">
      <c r="O57" s="553"/>
      <c r="S57" s="1269"/>
      <c r="T57" s="2301"/>
      <c r="U57" s="2301"/>
      <c r="V57" s="2301"/>
      <c r="W57" s="2301"/>
      <c r="X57" s="2301"/>
      <c r="Y57" s="2301"/>
      <c r="Z57" s="2301"/>
      <c r="AA57" s="2301"/>
      <c r="AB57" s="2301"/>
      <c r="AC57" s="2301"/>
      <c r="AD57" s="2301"/>
      <c r="AE57" s="2301"/>
      <c r="AF57" s="2301"/>
      <c r="AG57" s="2301"/>
      <c r="AH57" s="2301"/>
      <c r="AI57" s="2301"/>
      <c r="AJ57" s="2301"/>
      <c r="AK57" s="2301"/>
      <c r="AQ57" s="1171">
        <v>14</v>
      </c>
    </row>
    <row customHeight="1" ht="22.5" hidden="1">
      <c r="A58" s="1176" t="s">
        <v>85</v>
      </c>
      <c r="B58" s="1176">
        <v>0</v>
      </c>
      <c r="C58" s="1176">
        <v>0</v>
      </c>
      <c r="D58" s="1176">
        <v>0</v>
      </c>
      <c r="E58" s="1176">
        <v>0</v>
      </c>
      <c r="F58" s="1176">
        <v>0</v>
      </c>
      <c r="G58" s="1176">
        <v>0</v>
      </c>
      <c r="H58" s="1176">
        <v>0</v>
      </c>
      <c r="I58" s="1176">
        <v>0</v>
      </c>
      <c r="J58" s="1176">
        <v>0</v>
      </c>
      <c r="K58" s="1176">
        <v>0</v>
      </c>
      <c r="L58" s="1463">
        <v>0</v>
      </c>
      <c r="M58" s="1378">
        <v>0</v>
      </c>
      <c r="N58" s="1378">
        <v>0</v>
      </c>
      <c r="O58" s="1378">
        <v>0</v>
      </c>
      <c r="P58" s="1462">
        <v>3</v>
      </c>
      <c r="Q58" s="360">
        <v>3</v>
      </c>
      <c r="R58" s="360">
        <v>3</v>
      </c>
      <c r="S58" s="597">
        <v>12</v>
      </c>
      <c r="T58" s="1171">
        <v>35</v>
      </c>
      <c r="U58" s="1171">
        <v>0</v>
      </c>
      <c r="V58" s="1171">
        <v>0</v>
      </c>
      <c r="W58" s="1171">
        <v>0</v>
      </c>
      <c r="X58" s="1171">
        <v>0</v>
      </c>
      <c r="Y58" s="1171">
        <v>0</v>
      </c>
      <c r="Z58" s="1171">
        <v>0</v>
      </c>
      <c r="AA58" s="1171">
        <v>0</v>
      </c>
      <c r="AB58" s="1171">
        <v>0</v>
      </c>
      <c r="AC58" s="1171">
        <v>24</v>
      </c>
      <c r="AD58" s="1171">
        <v>24</v>
      </c>
      <c r="AE58" s="1171">
        <v>24</v>
      </c>
      <c r="AF58" s="1171">
        <v>11</v>
      </c>
      <c r="AG58" s="1171">
        <v>3</v>
      </c>
      <c r="AH58" s="1171">
        <v>11</v>
      </c>
      <c r="AI58" s="1171">
        <v>0</v>
      </c>
      <c r="AJ58" s="1171">
        <v>4</v>
      </c>
      <c r="AK58" s="1171">
        <v>115</v>
      </c>
      <c r="AL58" s="527">
        <v>10</v>
      </c>
      <c r="AM58" s="527">
        <v>10</v>
      </c>
      <c r="AN58" s="527">
        <v>10</v>
      </c>
      <c r="AO58" s="527">
        <v>10</v>
      </c>
      <c r="AP58" s="527">
        <v>10</v>
      </c>
      <c r="AQ58" s="117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89BB7-22B2-5CA4-F4BB-041D5CC22FC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51" width="10.140625" hidden="1" customWidth="1"/>
    <col min="4" max="4" style="1651" width="11.8515625" hidden="1" customWidth="1"/>
    <col min="5" max="11" style="1651" width="10.140625" hidden="1" customWidth="1"/>
    <col min="12" max="12" style="2141" width="10.140625" hidden="1" customWidth="1"/>
    <col min="13" max="15" style="2413" width="10.140625" hidden="1" customWidth="1"/>
    <col min="16" max="16" style="1792" width="3.00390625" customWidth="1"/>
    <col min="17" max="17" style="1387" width="3.00390625" customWidth="1"/>
    <col min="18" max="18" style="360" width="3.00390625" customWidth="1"/>
    <col min="19" max="19" style="2423" width="12.00390625" customWidth="1"/>
    <col min="20" max="20" style="1651" width="31.00390625" customWidth="1"/>
    <col min="21" max="21" style="1651" width="0.140625" customWidth="1"/>
    <col min="22" max="23" style="1651" width="21.7109375" hidden="1" customWidth="1"/>
    <col min="24" max="24" style="1651" width="11.7109375" hidden="1" customWidth="1"/>
    <col min="25" max="25" style="1651" width="3.7109375" hidden="1" customWidth="1"/>
    <col min="26" max="26" style="1651" width="11.7109375" hidden="1" customWidth="1"/>
    <col min="27" max="27" style="1651" width="8.57421875" hidden="1" customWidth="1"/>
    <col min="28" max="28" style="1651" width="27.00390625" customWidth="1"/>
    <col min="29" max="29" style="1651" width="24.57421875" customWidth="1"/>
    <col min="30" max="31" style="1651" width="21.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0.75" hidden="1">
      <c r="AQ1" s="1647" t="s">
        <v>14</v>
      </c>
    </row>
    <row customHeight="1" ht="21" hidden="1">
      <c r="A2" s="1283"/>
      <c r="B2" s="1283"/>
      <c r="C2" s="1283"/>
      <c r="D2" s="1283"/>
      <c r="E2" s="2305">
        <v>1</v>
      </c>
      <c r="F2" s="1283"/>
      <c r="G2" s="1283"/>
      <c r="H2" s="1283"/>
      <c r="I2" s="1283"/>
      <c r="J2" s="1283"/>
      <c r="K2" s="1283"/>
      <c r="L2" s="1326"/>
      <c r="M2" s="1626"/>
      <c r="N2" s="1626"/>
      <c r="O2" s="1626"/>
      <c r="P2" s="1425"/>
      <c r="Q2" s="889"/>
      <c r="R2" s="371"/>
      <c r="S2" s="1974">
        <f>INDEX(PT_DIFFERENTIATION_NUM_NTAR,MATCH(A2,PT_DIFFERENTIATION_NTAR_ID,0))</f>
      </c>
      <c r="T2" s="1541" t="s">
        <v>192</v>
      </c>
      <c r="U2" s="316"/>
      <c r="V2" s="2259"/>
      <c r="W2" s="2259"/>
      <c r="X2" s="2259"/>
      <c r="Y2" s="2259"/>
      <c r="Z2" s="2259"/>
      <c r="AA2" s="2260"/>
      <c r="AB2" s="1968"/>
      <c r="AC2" s="2259">
        <f>INDEX(PT_DIFFERENTIATION_NTAR,MATCH(A2,PT_DIFFERENTIATION_NTAR_ID,0))</f>
      </c>
      <c r="AD2" s="2259"/>
      <c r="AE2" s="2259"/>
      <c r="AF2" s="2259"/>
      <c r="AG2" s="2259"/>
      <c r="AH2" s="2259"/>
      <c r="AI2" s="2259"/>
      <c r="AJ2" s="2260"/>
      <c r="AK2" s="1274" t="s">
        <v>549</v>
      </c>
      <c r="AM2" s="1640"/>
      <c r="AN2" s="1640" t="str">
        <f>IF(T2="","",T2)</f>
        <v>Наименование тарифа</v>
      </c>
      <c r="AO2" s="1640"/>
      <c r="AP2" s="1640"/>
      <c r="AQ2" s="1647">
        <v>0</v>
      </c>
    </row>
    <row customHeight="1" ht="21" hidden="1">
      <c r="A3" s="1283"/>
      <c r="B3" s="1283"/>
      <c r="C3" s="1283"/>
      <c r="D3" s="1283"/>
      <c r="E3" s="2306"/>
      <c r="F3" s="2305">
        <v>1</v>
      </c>
      <c r="G3" s="1283"/>
      <c r="H3" s="1283"/>
      <c r="I3" s="1283"/>
      <c r="J3" s="1283"/>
      <c r="K3" s="1283"/>
      <c r="L3" s="1326"/>
      <c r="M3" s="1626"/>
      <c r="N3" s="1626"/>
      <c r="O3" s="1626"/>
      <c r="P3" s="1985"/>
      <c r="Q3" s="1427"/>
      <c r="R3" s="369"/>
      <c r="S3" s="1974">
        <f>INDEX(PT_DIFFERENTIATION_NUM_TER,MATCH(B3,PT_DIFFERENTIATION_TER_ID,0))</f>
      </c>
      <c r="T3" s="1538" t="s">
        <v>550</v>
      </c>
      <c r="U3" s="316"/>
      <c r="V3" s="2259"/>
      <c r="W3" s="2259"/>
      <c r="X3" s="2259"/>
      <c r="Y3" s="2259"/>
      <c r="Z3" s="2259"/>
      <c r="AA3" s="2260"/>
      <c r="AB3" s="1968"/>
      <c r="AC3" s="2259">
        <f>INDEX(PT_DIFFERENTIATION_TER,MATCH(B3,PT_DIFFERENTIATION_TER_ID,0))</f>
      </c>
      <c r="AD3" s="2259"/>
      <c r="AE3" s="2259"/>
      <c r="AF3" s="2259"/>
      <c r="AG3" s="2259"/>
      <c r="AH3" s="2259"/>
      <c r="AI3" s="2259"/>
      <c r="AJ3" s="2260"/>
      <c r="AK3" s="1274" t="s">
        <v>551</v>
      </c>
      <c r="AM3" s="1640"/>
      <c r="AN3" s="1640" t="str">
        <f>IF(T3="","",T3)</f>
        <v>Территория действия тарифа</v>
      </c>
      <c r="AO3" s="1640"/>
      <c r="AP3" s="1640"/>
      <c r="AQ3" s="1647">
        <v>0</v>
      </c>
    </row>
    <row customHeight="1" ht="22.5" hidden="1">
      <c r="A4" s="1283"/>
      <c r="B4" s="1283"/>
      <c r="C4" s="1283"/>
      <c r="D4" s="1283"/>
      <c r="E4" s="2306"/>
      <c r="F4" s="2306"/>
      <c r="G4" s="2305">
        <v>1</v>
      </c>
      <c r="H4" s="1283"/>
      <c r="I4" s="1283"/>
      <c r="J4" s="1283"/>
      <c r="K4" s="1283"/>
      <c r="L4" s="1326"/>
      <c r="M4" s="1626"/>
      <c r="N4" s="1626"/>
      <c r="O4" s="1626"/>
      <c r="P4" s="1428"/>
      <c r="Q4" s="1427"/>
      <c r="R4" s="369"/>
      <c r="S4" s="1974">
        <f>INDEX(PT_DIFFERENTIATION_NUM_CS,MATCH(C4,PT_DIFFERENTIATION_CS_ID,0))</f>
      </c>
      <c r="T4" s="325" t="s">
        <v>552</v>
      </c>
      <c r="U4" s="316"/>
      <c r="V4" s="2259"/>
      <c r="W4" s="2259"/>
      <c r="X4" s="2259"/>
      <c r="Y4" s="2259"/>
      <c r="Z4" s="2259"/>
      <c r="AA4" s="2260"/>
      <c r="AB4" s="1968"/>
      <c r="AC4" s="2259">
        <f>INDEX(PT_DIFFERENTIATION_CS,MATCH(C4,PT_DIFFERENTIATION_CS_ID,0))</f>
      </c>
      <c r="AD4" s="2259"/>
      <c r="AE4" s="2259"/>
      <c r="AF4" s="2259"/>
      <c r="AG4" s="2259"/>
      <c r="AH4" s="2259"/>
      <c r="AI4" s="2259"/>
      <c r="AJ4" s="2260"/>
      <c r="AK4" s="1274" t="s">
        <v>553</v>
      </c>
      <c r="AM4" s="1640"/>
      <c r="AN4" s="1640" t="str">
        <f>IF(T4="","",T4)</f>
        <v>Наименование системы теплоснабжения </v>
      </c>
      <c r="AO4" s="1640"/>
      <c r="AP4" s="1640"/>
      <c r="AQ4" s="1647">
        <v>0</v>
      </c>
    </row>
    <row customHeight="1" ht="21" hidden="1">
      <c r="A5" s="1283"/>
      <c r="B5" s="1283"/>
      <c r="C5" s="1283"/>
      <c r="D5" s="1283"/>
      <c r="E5" s="2306"/>
      <c r="F5" s="2306"/>
      <c r="G5" s="2306"/>
      <c r="H5" s="2305">
        <v>1</v>
      </c>
      <c r="I5" s="1283"/>
      <c r="J5" s="1283"/>
      <c r="K5" s="1283"/>
      <c r="L5" s="1326"/>
      <c r="M5" s="1626"/>
      <c r="N5" s="1626"/>
      <c r="O5" s="1626"/>
      <c r="P5" s="1428"/>
      <c r="Q5" s="1427"/>
      <c r="R5" s="369"/>
      <c r="S5" s="1974">
        <f>INDEX(PT_DIFFERENTIATION_NUM_IST_TE,MATCH(D5,PT_DIFFERENTIATION_IST_TE_ID,0))</f>
      </c>
      <c r="T5" s="326" t="s">
        <v>554</v>
      </c>
      <c r="U5" s="316"/>
      <c r="V5" s="2259"/>
      <c r="W5" s="2259"/>
      <c r="X5" s="2259"/>
      <c r="Y5" s="2259"/>
      <c r="Z5" s="2259"/>
      <c r="AA5" s="2260"/>
      <c r="AB5" s="1968"/>
      <c r="AC5" s="2259">
        <f>INDEX(PT_DIFFERENTIATION_IST_TE,MATCH(D5,PT_DIFFERENTIATION_IST_TE_ID,0))</f>
      </c>
      <c r="AD5" s="2259"/>
      <c r="AE5" s="2259"/>
      <c r="AF5" s="2259"/>
      <c r="AG5" s="2259"/>
      <c r="AH5" s="2259"/>
      <c r="AI5" s="2259"/>
      <c r="AJ5" s="2260"/>
      <c r="AK5" s="1274" t="s">
        <v>555</v>
      </c>
      <c r="AM5" s="1640"/>
      <c r="AN5" s="1640" t="str">
        <f>IF(T5="","",T5)</f>
        <v>Источник тепловой энергии  </v>
      </c>
      <c r="AO5" s="1640"/>
      <c r="AP5" s="1640"/>
      <c r="AQ5" s="1647">
        <v>0</v>
      </c>
    </row>
    <row s="1658" customFormat="1" customHeight="1" ht="0.75" hidden="1">
      <c r="A6" s="1391"/>
      <c r="B6" s="1391"/>
      <c r="C6" s="1391"/>
      <c r="D6" s="1391"/>
      <c r="E6" s="2306"/>
      <c r="F6" s="2306"/>
      <c r="G6" s="2306"/>
      <c r="H6" s="2306"/>
      <c r="I6" s="2143">
        <f>S5&amp;".1"</f>
      </c>
      <c r="J6" s="1391"/>
      <c r="K6" s="1391"/>
      <c r="L6" s="1397" t="s">
        <v>556</v>
      </c>
      <c r="M6" s="1262"/>
      <c r="N6" s="1262"/>
      <c r="O6" s="1262"/>
      <c r="P6" s="2273">
        <v>1</v>
      </c>
      <c r="Q6" s="1970"/>
      <c r="R6" s="372"/>
      <c r="S6" s="1058"/>
      <c r="T6" s="1399"/>
      <c r="U6" s="1400"/>
      <c r="V6" s="2313"/>
      <c r="W6" s="2313"/>
      <c r="X6" s="2313"/>
      <c r="Y6" s="2313"/>
      <c r="Z6" s="2313"/>
      <c r="AA6" s="2314"/>
      <c r="AB6" s="1976"/>
      <c r="AC6" s="2313"/>
      <c r="AD6" s="2313"/>
      <c r="AE6" s="2313"/>
      <c r="AF6" s="2313"/>
      <c r="AG6" s="2313"/>
      <c r="AH6" s="2313"/>
      <c r="AI6" s="2313"/>
      <c r="AJ6" s="2314"/>
      <c r="AK6" s="1401"/>
      <c r="AM6" s="1640"/>
      <c r="AN6" s="1640" t="str">
        <f>IF(T6="","",T6)</f>
        <v/>
      </c>
      <c r="AO6" s="1640"/>
      <c r="AP6" s="1640"/>
      <c r="AQ6" s="1652">
        <v>0</v>
      </c>
    </row>
    <row s="1658" customFormat="1" customHeight="1" ht="0.75" hidden="1">
      <c r="A7" s="1391"/>
      <c r="B7" s="1391"/>
      <c r="C7" s="1391"/>
      <c r="D7" s="1391"/>
      <c r="E7" s="2306"/>
      <c r="F7" s="2306"/>
      <c r="G7" s="2306"/>
      <c r="H7" s="2306"/>
      <c r="I7" s="2117"/>
      <c r="J7" s="2143">
        <f>S5&amp;".1"</f>
      </c>
      <c r="K7" s="1391"/>
      <c r="L7" s="1397"/>
      <c r="M7" s="1262"/>
      <c r="N7" s="1262"/>
      <c r="O7" s="1262"/>
      <c r="P7" s="2273"/>
      <c r="Q7" s="2273">
        <v>1</v>
      </c>
      <c r="R7" s="373"/>
      <c r="S7" s="1058"/>
      <c r="T7" s="1415"/>
      <c r="U7" s="1400"/>
      <c r="V7" s="2313"/>
      <c r="W7" s="2313"/>
      <c r="X7" s="2313"/>
      <c r="Y7" s="2313"/>
      <c r="Z7" s="2313"/>
      <c r="AA7" s="2314"/>
      <c r="AB7" s="1976"/>
      <c r="AC7" s="2313"/>
      <c r="AD7" s="2313"/>
      <c r="AE7" s="2313"/>
      <c r="AF7" s="2313"/>
      <c r="AG7" s="2313"/>
      <c r="AH7" s="2313"/>
      <c r="AI7" s="2313"/>
      <c r="AJ7" s="2314"/>
      <c r="AK7" s="1401"/>
      <c r="AM7" s="1640"/>
      <c r="AN7" s="1640" t="str">
        <f>IF(T7="","",T7)</f>
        <v/>
      </c>
      <c r="AO7" s="1640"/>
      <c r="AP7" s="1640"/>
      <c r="AQ7" s="1652">
        <v>0</v>
      </c>
    </row>
    <row customHeight="1" ht="21" hidden="1">
      <c r="A8" s="1283"/>
      <c r="B8" s="1283"/>
      <c r="C8" s="1283"/>
      <c r="D8" s="1283"/>
      <c r="E8" s="2306"/>
      <c r="F8" s="2306"/>
      <c r="G8" s="2306"/>
      <c r="H8" s="2306"/>
      <c r="I8" s="2117"/>
      <c r="J8" s="2117"/>
      <c r="K8" s="2007">
        <f>S5&amp;".1"</f>
      </c>
      <c r="L8" s="1326"/>
      <c r="P8" s="2273"/>
      <c r="Q8" s="2273"/>
      <c r="R8" s="2011">
        <v>1</v>
      </c>
      <c r="S8" s="2009">
        <f>$K8</f>
      </c>
      <c r="T8" s="2010"/>
      <c r="U8" s="316"/>
      <c r="V8" s="767"/>
      <c r="W8" s="1273"/>
      <c r="X8" s="2008"/>
      <c r="Y8" s="2006" t="s">
        <v>64</v>
      </c>
      <c r="Z8" s="2008"/>
      <c r="AA8" s="2006" t="s">
        <v>64</v>
      </c>
      <c r="AB8" s="2012"/>
      <c r="AC8" s="2013" t="s">
        <v>28</v>
      </c>
      <c r="AD8" s="767"/>
      <c r="AE8" s="1273"/>
      <c r="AF8" s="1971"/>
      <c r="AG8" s="1958" t="s">
        <v>64</v>
      </c>
      <c r="AH8" s="1971"/>
      <c r="AI8" s="1958" t="s">
        <v>64</v>
      </c>
      <c r="AJ8" s="1364"/>
      <c r="AK8" s="2269" t="s">
        <v>613</v>
      </c>
      <c r="AL8" s="1652">
        <f>STRCHECKDATE(#REF!)</f>
      </c>
      <c r="AM8" s="1640"/>
      <c r="AN8" s="1640" t="str">
        <f>IF(T8="","",T8)</f>
        <v/>
      </c>
      <c r="AO8" s="1640"/>
      <c r="AP8" s="1640"/>
      <c r="AQ8" s="1647">
        <v>0</v>
      </c>
    </row>
    <row customHeight="1" ht="11.25" hidden="1">
      <c r="A9" s="1283"/>
      <c r="B9" s="1283"/>
      <c r="C9" s="1283"/>
      <c r="D9" s="1283"/>
      <c r="E9" s="2306"/>
      <c r="F9" s="2306"/>
      <c r="G9" s="2306"/>
      <c r="H9" s="2306"/>
      <c r="I9" s="2117"/>
      <c r="J9" s="2143"/>
      <c r="K9" s="1283"/>
      <c r="L9" s="1326"/>
      <c r="P9" s="2273"/>
      <c r="Q9" s="2273"/>
      <c r="R9" s="372"/>
      <c r="S9" s="1294"/>
      <c r="T9" s="303" t="s">
        <v>617</v>
      </c>
      <c r="U9" s="616"/>
      <c r="V9" s="616"/>
      <c r="W9" s="616"/>
      <c r="X9" s="616"/>
      <c r="Y9" s="616"/>
      <c r="Z9" s="616"/>
      <c r="AA9" s="616"/>
      <c r="AB9" s="616"/>
      <c r="AC9" s="616"/>
      <c r="AD9" s="616"/>
      <c r="AE9" s="616"/>
      <c r="AF9" s="616"/>
      <c r="AG9" s="616"/>
      <c r="AH9" s="616"/>
      <c r="AI9" s="616"/>
      <c r="AJ9" s="340"/>
      <c r="AK9" s="2271"/>
      <c r="AM9" s="1640"/>
      <c r="AN9" s="1640" t="str">
        <f>IF(T9="","",T9)</f>
        <v>Добавить строку</v>
      </c>
      <c r="AO9" s="1640"/>
      <c r="AP9" s="1640"/>
      <c r="AQ9" s="1647">
        <v>0</v>
      </c>
    </row>
    <row s="1658" customFormat="1" customHeight="1" ht="0.75" hidden="1">
      <c r="A10" s="1391"/>
      <c r="B10" s="1391"/>
      <c r="C10" s="1391"/>
      <c r="D10" s="1391"/>
      <c r="E10" s="2306"/>
      <c r="F10" s="2306"/>
      <c r="G10" s="2306"/>
      <c r="H10" s="2306"/>
      <c r="I10" s="2143"/>
      <c r="J10" s="1391"/>
      <c r="K10" s="1391"/>
      <c r="L10" s="1397"/>
      <c r="M10" s="1262"/>
      <c r="N10" s="1262"/>
      <c r="O10" s="1262"/>
      <c r="P10" s="2273"/>
      <c r="Q10" s="1970"/>
      <c r="R10" s="372"/>
      <c r="S10" s="1402"/>
      <c r="T10" s="1403"/>
      <c r="U10" s="1404"/>
      <c r="V10" s="1404"/>
      <c r="W10" s="1404"/>
      <c r="X10" s="1404"/>
      <c r="Y10" s="1404"/>
      <c r="Z10" s="1404"/>
      <c r="AA10" s="1404"/>
      <c r="AB10" s="1404"/>
      <c r="AC10" s="1404"/>
      <c r="AD10" s="1404"/>
      <c r="AE10" s="1404"/>
      <c r="AF10" s="1404"/>
      <c r="AG10" s="1404"/>
      <c r="AH10" s="1404"/>
      <c r="AI10" s="1404"/>
      <c r="AJ10" s="1404"/>
      <c r="AK10" s="1405"/>
      <c r="AM10" s="1640"/>
      <c r="AN10" s="1640" t="str">
        <f>IF(T10="","",T10)</f>
        <v/>
      </c>
      <c r="AO10" s="1640"/>
      <c r="AP10" s="1640"/>
      <c r="AQ10" s="1652">
        <v>0</v>
      </c>
    </row>
    <row s="1658" customFormat="1" customHeight="1" ht="0.75" hidden="1">
      <c r="A11" s="1391"/>
      <c r="B11" s="1391"/>
      <c r="C11" s="1391"/>
      <c r="D11" s="1391"/>
      <c r="E11" s="2306"/>
      <c r="F11" s="2306"/>
      <c r="G11" s="2306"/>
      <c r="H11" s="2305"/>
      <c r="I11" s="1391"/>
      <c r="J11" s="1391"/>
      <c r="K11" s="1391"/>
      <c r="L11" s="1397"/>
      <c r="M11" s="1394"/>
      <c r="N11" s="1394"/>
      <c r="O11" s="367"/>
      <c r="P11" s="396"/>
      <c r="Q11" s="1360"/>
      <c r="R11" s="1417"/>
      <c r="S11" s="1402"/>
      <c r="T11" s="1403"/>
      <c r="U11" s="1404"/>
      <c r="V11" s="1404"/>
      <c r="W11" s="1404"/>
      <c r="X11" s="1404"/>
      <c r="Y11" s="1404"/>
      <c r="Z11" s="1404"/>
      <c r="AA11" s="1404"/>
      <c r="AB11" s="1404"/>
      <c r="AC11" s="1404"/>
      <c r="AD11" s="1404"/>
      <c r="AE11" s="1404"/>
      <c r="AF11" s="1404"/>
      <c r="AG11" s="1404"/>
      <c r="AH11" s="1404"/>
      <c r="AI11" s="1404"/>
      <c r="AJ11" s="1404"/>
      <c r="AK11" s="1405"/>
      <c r="AM11" s="1640"/>
      <c r="AN11" s="1640" t="str">
        <f>IF(T11="","",T11)</f>
        <v/>
      </c>
      <c r="AO11" s="1640"/>
      <c r="AP11" s="1640"/>
      <c r="AQ11" s="1652">
        <v>0</v>
      </c>
    </row>
    <row s="1658" customFormat="1" customHeight="1" ht="0.75" hidden="1">
      <c r="A12" s="1391"/>
      <c r="B12" s="1391"/>
      <c r="C12" s="1391"/>
      <c r="D12" s="1390"/>
      <c r="E12" s="2306"/>
      <c r="F12" s="2306"/>
      <c r="G12" s="2305"/>
      <c r="H12" s="1390"/>
      <c r="I12" s="1390"/>
      <c r="J12" s="1390"/>
      <c r="K12" s="1390"/>
      <c r="L12" s="1393"/>
      <c r="M12" s="1394"/>
      <c r="N12" s="1394"/>
      <c r="O12" s="367"/>
      <c r="P12" s="1332"/>
      <c r="Q12" s="1333"/>
      <c r="R12" s="1332"/>
      <c r="S12" s="1338"/>
      <c r="T12" s="1341" t="s">
        <v>268</v>
      </c>
      <c r="U12" s="1340"/>
      <c r="V12" s="1340"/>
      <c r="W12" s="1340"/>
      <c r="X12" s="1340"/>
      <c r="Y12" s="1340"/>
      <c r="Z12" s="1340"/>
      <c r="AA12" s="1340"/>
      <c r="AB12" s="1340"/>
      <c r="AC12" s="1340"/>
      <c r="AD12" s="1340"/>
      <c r="AE12" s="1340"/>
      <c r="AF12" s="1340"/>
      <c r="AG12" s="1340"/>
      <c r="AH12" s="1340"/>
      <c r="AI12" s="1340"/>
      <c r="AJ12" s="1340"/>
      <c r="AK12" s="1340"/>
      <c r="AM12" s="1267"/>
      <c r="AN12" s="1267" t="str">
        <f>IF(T12="","",T12)</f>
        <v>Добавить источник для дифференциации</v>
      </c>
      <c r="AO12" s="1267"/>
      <c r="AP12" s="1267"/>
      <c r="AQ12" s="1658">
        <v>0</v>
      </c>
    </row>
    <row s="1658" customFormat="1" customHeight="1" ht="0.75" hidden="1">
      <c r="A13" s="1391"/>
      <c r="B13" s="1391"/>
      <c r="C13" s="1390"/>
      <c r="D13" s="1390"/>
      <c r="E13" s="2306"/>
      <c r="F13" s="2305"/>
      <c r="G13" s="1390"/>
      <c r="H13" s="1390"/>
      <c r="I13" s="1390"/>
      <c r="J13" s="1390"/>
      <c r="K13" s="1390"/>
      <c r="L13" s="1393"/>
      <c r="M13" s="1395"/>
      <c r="N13" s="1395"/>
      <c r="O13" s="367"/>
      <c r="P13" s="1332"/>
      <c r="Q13" s="1333"/>
      <c r="R13" s="1332"/>
      <c r="S13" s="1338"/>
      <c r="T13" s="1341" t="s">
        <v>269</v>
      </c>
      <c r="U13" s="1340"/>
      <c r="V13" s="1340"/>
      <c r="W13" s="1340"/>
      <c r="X13" s="1340"/>
      <c r="Y13" s="1340"/>
      <c r="Z13" s="1340"/>
      <c r="AA13" s="1340"/>
      <c r="AB13" s="1340"/>
      <c r="AC13" s="1340"/>
      <c r="AD13" s="1340"/>
      <c r="AE13" s="1340"/>
      <c r="AF13" s="1340"/>
      <c r="AG13" s="1340"/>
      <c r="AH13" s="1340"/>
      <c r="AI13" s="1340"/>
      <c r="AJ13" s="1340"/>
      <c r="AK13" s="1340"/>
      <c r="AM13" s="1267"/>
      <c r="AN13" s="1267" t="str">
        <f>IF(T13="","",T13)</f>
        <v>Добавить централизованную систему для дифференциации</v>
      </c>
      <c r="AO13" s="1267"/>
      <c r="AP13" s="1267"/>
      <c r="AQ13" s="1658">
        <v>0</v>
      </c>
    </row>
    <row s="1658" customFormat="1" customHeight="1" ht="0.75" hidden="1">
      <c r="A14" s="1391"/>
      <c r="B14" s="1391"/>
      <c r="C14" s="1391"/>
      <c r="D14" s="1391"/>
      <c r="E14" s="2305"/>
      <c r="F14" s="1391"/>
      <c r="G14" s="1391"/>
      <c r="H14" s="1391"/>
      <c r="I14" s="1391"/>
      <c r="J14" s="1391"/>
      <c r="K14" s="1391"/>
      <c r="L14" s="1397"/>
      <c r="M14" s="1395"/>
      <c r="N14" s="1395"/>
      <c r="O14" s="367"/>
      <c r="P14" s="396"/>
      <c r="Q14" s="1360"/>
      <c r="R14" s="396"/>
      <c r="S14" s="1338"/>
      <c r="T14" s="1341" t="s">
        <v>330</v>
      </c>
      <c r="U14" s="1340"/>
      <c r="V14" s="1340"/>
      <c r="W14" s="1340"/>
      <c r="X14" s="1340"/>
      <c r="Y14" s="1340"/>
      <c r="Z14" s="1340"/>
      <c r="AA14" s="1340"/>
      <c r="AB14" s="1340"/>
      <c r="AC14" s="1340"/>
      <c r="AD14" s="1340"/>
      <c r="AE14" s="1340"/>
      <c r="AF14" s="1340"/>
      <c r="AG14" s="1340"/>
      <c r="AH14" s="1340"/>
      <c r="AI14" s="1340"/>
      <c r="AJ14" s="1340"/>
      <c r="AK14" s="1340"/>
      <c r="AM14" s="1640"/>
      <c r="AN14" s="1640" t="str">
        <f>IF(T14="","",T14)</f>
        <v>Добавить территорию для дифференциации</v>
      </c>
      <c r="AO14" s="1640"/>
      <c r="AP14" s="1640"/>
      <c r="AQ14" s="1652">
        <v>0</v>
      </c>
    </row>
    <row customHeight="1" ht="14.25" hidden="1">
      <c r="AQ15" s="1647">
        <v>0</v>
      </c>
    </row>
    <row customHeight="1" ht="14.25" hidden="1">
      <c r="AC16" s="1518"/>
      <c r="AD16" s="1419"/>
      <c r="AE16" s="1420"/>
      <c r="AF16" s="1752"/>
      <c r="AG16" s="1982" t="s">
        <v>64</v>
      </c>
      <c r="AH16" s="1752"/>
      <c r="AI16" s="1982" t="s">
        <v>64</v>
      </c>
      <c r="AQ16" s="1647">
        <v>0</v>
      </c>
    </row>
    <row customHeight="1" ht="14.25" hidden="1">
      <c r="AL17" s="1657"/>
      <c r="AM17" s="1657"/>
      <c r="AN17" s="1657"/>
      <c r="AO17" s="1657"/>
      <c r="AP17" s="1657"/>
      <c r="AQ17" s="1647">
        <v>0</v>
      </c>
    </row>
    <row customHeight="1" ht="14.25" hidden="1">
      <c r="O18" s="1361" t="s">
        <v>567</v>
      </c>
      <c r="X18" s="1361"/>
      <c r="Z18" s="1361"/>
      <c r="AF18" s="1361"/>
      <c r="AH18" s="1361"/>
      <c r="AL18" s="1657"/>
      <c r="AM18" s="1657"/>
      <c r="AN18" s="1657"/>
      <c r="AO18" s="1657"/>
      <c r="AP18" s="1657"/>
      <c r="AQ18" s="1647">
        <v>0</v>
      </c>
    </row>
    <row customHeight="1" ht="14.25" hidden="1">
      <c r="AL19" s="1657"/>
      <c r="AM19" s="1657"/>
      <c r="AN19" s="1657"/>
      <c r="AO19" s="1657"/>
      <c r="AP19" s="1657"/>
      <c r="AQ19" s="1647">
        <v>0</v>
      </c>
    </row>
    <row s="1525" customFormat="1" customHeight="1" ht="14.25" hidden="1">
      <c r="A20" s="1987"/>
      <c r="B20" s="1987"/>
      <c r="C20" s="1987"/>
      <c r="D20" s="1987"/>
      <c r="E20" s="1987"/>
      <c r="F20" s="1987"/>
      <c r="G20" s="1987"/>
      <c r="H20" s="1987"/>
      <c r="I20" s="1987"/>
      <c r="J20" s="1987"/>
      <c r="K20" s="1987"/>
      <c r="L20" s="1987"/>
      <c r="M20" s="1988"/>
      <c r="N20" s="1988"/>
      <c r="O20" s="1989" t="s">
        <v>568</v>
      </c>
      <c r="P20" s="1524"/>
      <c r="Q20" s="1526"/>
      <c r="R20" s="1526"/>
      <c r="Y20" s="1523" t="s">
        <v>570</v>
      </c>
      <c r="AA20" s="1523" t="s">
        <v>571</v>
      </c>
      <c r="AC20" s="1523" t="s">
        <v>619</v>
      </c>
      <c r="AG20" s="1523" t="s">
        <v>570</v>
      </c>
      <c r="AI20" s="1523" t="s">
        <v>571</v>
      </c>
      <c r="AL20" s="1527"/>
      <c r="AM20" s="1527"/>
      <c r="AN20" s="1527"/>
      <c r="AO20" s="1527"/>
      <c r="AP20" s="1527"/>
      <c r="AQ20" s="1523">
        <v>0</v>
      </c>
    </row>
    <row customHeight="1" ht="14.25" hidden="1">
      <c r="O21" s="1326"/>
      <c r="AL21" s="1657"/>
      <c r="AM21" s="1657"/>
      <c r="AN21" s="1657"/>
      <c r="AO21" s="1657"/>
      <c r="AP21" s="1657"/>
      <c r="AQ21" s="1647">
        <v>0</v>
      </c>
    </row>
    <row customHeight="1" ht="14.25" hidden="1">
      <c r="O22" s="1326"/>
      <c r="AL22" s="1657"/>
      <c r="AM22" s="1657"/>
      <c r="AN22" s="1657"/>
      <c r="AO22" s="1657"/>
      <c r="AP22" s="1657"/>
      <c r="AQ22" s="1647">
        <v>0</v>
      </c>
    </row>
    <row customHeight="1" ht="14.699999999999998">
      <c r="Q23" s="307"/>
      <c r="R23" s="392"/>
      <c r="S23" s="1291"/>
      <c r="T23" s="473"/>
      <c r="U23" s="473"/>
      <c r="V23" s="1651"/>
      <c r="W23" s="1651"/>
      <c r="X23" s="1651"/>
      <c r="Y23" s="1651"/>
      <c r="Z23" s="1651"/>
      <c r="AA23" s="1651"/>
      <c r="AB23" s="1651"/>
      <c r="AC23" s="1651"/>
      <c r="AD23" s="1651"/>
      <c r="AE23" s="1651"/>
      <c r="AF23" s="1651"/>
      <c r="AG23" s="1651"/>
      <c r="AH23" s="1651"/>
      <c r="AI23" s="1651"/>
      <c r="AQ23" s="1647">
        <v>14</v>
      </c>
    </row>
    <row customHeight="1" ht="39.75">
      <c r="Q24" s="307"/>
      <c r="R24" s="392"/>
      <c r="S24" s="226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4"/>
      <c r="U24" s="2264"/>
      <c r="V24" s="2264"/>
      <c r="W24" s="2264"/>
      <c r="X24" s="2264"/>
      <c r="Y24" s="2264"/>
      <c r="Z24" s="2264"/>
      <c r="AA24" s="2264"/>
      <c r="AB24" s="2264"/>
      <c r="AC24" s="2264"/>
      <c r="AD24" s="2264"/>
      <c r="AE24" s="2264"/>
      <c r="AF24" s="2264"/>
      <c r="AG24" s="2264"/>
      <c r="AH24" s="2264"/>
      <c r="AI24" s="1259"/>
      <c r="AQ24" s="1647">
        <v>38</v>
      </c>
    </row>
    <row customHeight="1" ht="14.699999999999998">
      <c r="Q25" s="307"/>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647">
        <v>14</v>
      </c>
    </row>
    <row customHeight="1" ht="14.25" hidden="1">
      <c r="Q26" s="307"/>
      <c r="R26" s="392"/>
      <c r="S26" s="1291"/>
      <c r="T26" s="473"/>
      <c r="U26" s="473"/>
      <c r="V26" s="338"/>
      <c r="W26" s="338"/>
      <c r="X26" s="338"/>
      <c r="Y26" s="338"/>
      <c r="Z26" s="338"/>
      <c r="AA26" s="338"/>
      <c r="AB26" s="338"/>
      <c r="AC26" s="338"/>
      <c r="AD26" s="338"/>
      <c r="AE26" s="338"/>
      <c r="AF26" s="338"/>
      <c r="AG26" s="338"/>
      <c r="AH26" s="338"/>
      <c r="AI26" s="338"/>
      <c r="AJ26" s="1651"/>
      <c r="AQ26" s="1647">
        <v>0</v>
      </c>
    </row>
    <row s="1869" customFormat="1" customHeight="1" ht="25.5" hidden="1">
      <c r="A27" s="1264"/>
      <c r="B27" s="1264"/>
      <c r="C27" s="1264"/>
      <c r="D27" s="1264"/>
      <c r="E27" s="1264"/>
      <c r="F27" s="1264"/>
      <c r="G27" s="1264"/>
      <c r="H27" s="1264"/>
      <c r="I27" s="1264"/>
      <c r="J27" s="1264"/>
      <c r="K27" s="1264"/>
      <c r="L27" s="1396"/>
      <c r="M27" s="1264"/>
      <c r="N27" s="1264"/>
      <c r="O27" s="1264"/>
      <c r="P27" s="1384"/>
      <c r="Q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1651"/>
      <c r="AB27" s="1651"/>
      <c r="AC27" s="2267"/>
      <c r="AD27" s="2267"/>
      <c r="AE27" s="2267"/>
      <c r="AF27" s="2267"/>
      <c r="AG27" s="2267"/>
      <c r="AH27" s="2267"/>
      <c r="AI27" s="1651"/>
      <c r="AJ27" s="1651"/>
      <c r="AK27" s="296"/>
      <c r="AL27" s="384"/>
      <c r="AM27" s="384"/>
      <c r="AN27" s="384"/>
      <c r="AO27" s="384"/>
      <c r="AP27" s="384"/>
      <c r="AQ27" s="434">
        <v>0</v>
      </c>
    </row>
    <row s="1869" customFormat="1" customHeight="1" ht="18.75" hidden="1">
      <c r="A28" s="1264"/>
      <c r="B28" s="1264"/>
      <c r="C28" s="1264"/>
      <c r="D28" s="1264"/>
      <c r="E28" s="1264"/>
      <c r="F28" s="1264"/>
      <c r="G28" s="1264"/>
      <c r="H28" s="1264"/>
      <c r="I28" s="1264"/>
      <c r="J28" s="1264"/>
      <c r="K28" s="1264"/>
      <c r="L28" s="1396"/>
      <c r="M28" s="1264"/>
      <c r="N28" s="1264"/>
      <c r="O28" s="1264"/>
      <c r="P28" s="1384"/>
      <c r="Q28" s="1384"/>
      <c r="S28" s="2266" t="s">
        <v>573</v>
      </c>
      <c r="T28" s="2266"/>
      <c r="U28" s="1388"/>
      <c r="V28" s="2280" t="str">
        <f>IF(TITLE_DATE_PR_CHANGE="",IF(TITLE_DATE_PR="","",TITLE_DATE_PR),TITLE_DATE_PR_CHANGE)</f>
        <v>45910</v>
      </c>
      <c r="W28" s="2280"/>
      <c r="X28" s="2280"/>
      <c r="Y28" s="2280"/>
      <c r="Z28" s="2280"/>
      <c r="AA28" s="1651"/>
      <c r="AB28" s="1651"/>
      <c r="AC28" s="2280"/>
      <c r="AD28" s="2280"/>
      <c r="AE28" s="2280"/>
      <c r="AF28" s="2280"/>
      <c r="AG28" s="2280"/>
      <c r="AH28" s="2280"/>
      <c r="AI28" s="1651"/>
      <c r="AJ28" s="1651"/>
      <c r="AK28" s="296"/>
      <c r="AL28" s="384"/>
      <c r="AM28" s="384"/>
      <c r="AN28" s="384"/>
      <c r="AO28" s="384"/>
      <c r="AP28" s="384"/>
      <c r="AQ28" s="434">
        <v>0</v>
      </c>
    </row>
    <row s="1869" customFormat="1" customHeight="1" ht="18.75" hidden="1">
      <c r="A29" s="1264"/>
      <c r="B29" s="1264"/>
      <c r="C29" s="1264"/>
      <c r="D29" s="1264"/>
      <c r="E29" s="1264"/>
      <c r="F29" s="1264"/>
      <c r="G29" s="1264"/>
      <c r="H29" s="1264"/>
      <c r="I29" s="1264"/>
      <c r="J29" s="1264"/>
      <c r="K29" s="1264"/>
      <c r="L29" s="1396"/>
      <c r="M29" s="1264"/>
      <c r="N29" s="1264"/>
      <c r="O29" s="1264"/>
      <c r="P29" s="1384"/>
      <c r="Q29" s="1384"/>
      <c r="S29" s="2266" t="s">
        <v>574</v>
      </c>
      <c r="T29" s="2266"/>
      <c r="U29" s="1388"/>
      <c r="V29" s="2267" t="str">
        <f>IF(TITLE_NUMBER_PR_CHANGE="",IF(TITLE_NUMBER_PR="","",TITLE_NUMBER_PR),TITLE_NUMBER_PR_CHANGE)</f>
        <v>37/2</v>
      </c>
      <c r="W29" s="2267"/>
      <c r="X29" s="2267"/>
      <c r="Y29" s="2267"/>
      <c r="Z29" s="2267"/>
      <c r="AA29" s="1651"/>
      <c r="AB29" s="1651"/>
      <c r="AC29" s="2267"/>
      <c r="AD29" s="2267"/>
      <c r="AE29" s="2267"/>
      <c r="AF29" s="2267"/>
      <c r="AG29" s="2267"/>
      <c r="AH29" s="2267"/>
      <c r="AI29" s="1651"/>
      <c r="AJ29" s="1651"/>
      <c r="AK29" s="296"/>
      <c r="AL29" s="384"/>
      <c r="AM29" s="384"/>
      <c r="AN29" s="384"/>
      <c r="AO29" s="384"/>
      <c r="AP29" s="384"/>
      <c r="AQ29" s="434">
        <v>0</v>
      </c>
    </row>
    <row s="1869" customFormat="1" customHeight="1" ht="18.75" hidden="1">
      <c r="A30" s="1264"/>
      <c r="B30" s="1264"/>
      <c r="C30" s="1264"/>
      <c r="D30" s="1264"/>
      <c r="E30" s="1264"/>
      <c r="F30" s="1264"/>
      <c r="G30" s="1264"/>
      <c r="H30" s="1264"/>
      <c r="I30" s="1264"/>
      <c r="J30" s="1264"/>
      <c r="K30" s="1264"/>
      <c r="L30" s="1396"/>
      <c r="M30" s="1264"/>
      <c r="N30" s="1264"/>
      <c r="O30" s="1264"/>
      <c r="P30" s="1384"/>
      <c r="Q30" s="1384"/>
      <c r="S30" s="2266" t="s">
        <v>44</v>
      </c>
      <c r="T30" s="2266"/>
      <c r="U30" s="1388"/>
      <c r="V30" s="2267" t="str">
        <f>IF(TITLE_IST_PUB_CHANGE="",IF(TITLE_IST_PUB="","",TITLE_IST_PUB),TITLE_IST_PUB_CHANGE)</f>
        <v>http://pravo.gov.ru</v>
      </c>
      <c r="W30" s="2267"/>
      <c r="X30" s="2267"/>
      <c r="Y30" s="2267"/>
      <c r="Z30" s="2267"/>
      <c r="AA30" s="1651"/>
      <c r="AB30" s="1651"/>
      <c r="AC30" s="2267"/>
      <c r="AD30" s="2267"/>
      <c r="AE30" s="2267"/>
      <c r="AF30" s="2267"/>
      <c r="AG30" s="2267"/>
      <c r="AH30" s="2267"/>
      <c r="AI30" s="1651"/>
      <c r="AJ30" s="1651"/>
      <c r="AK30" s="296"/>
      <c r="AL30" s="384"/>
      <c r="AM30" s="384"/>
      <c r="AN30" s="384"/>
      <c r="AO30" s="384"/>
      <c r="AP30" s="384"/>
      <c r="AQ30" s="434">
        <v>0</v>
      </c>
    </row>
    <row customHeight="1" ht="14.25" hidden="1">
      <c r="Q31" s="307"/>
      <c r="R31" s="392"/>
      <c r="S31" s="1291"/>
      <c r="T31" s="473"/>
      <c r="U31" s="473"/>
      <c r="V31" s="338"/>
      <c r="W31" s="338"/>
      <c r="X31" s="338"/>
      <c r="Y31" s="338"/>
      <c r="Z31" s="338"/>
      <c r="AA31" s="338"/>
      <c r="AB31" s="338"/>
      <c r="AC31" s="338"/>
      <c r="AD31" s="338"/>
      <c r="AE31" s="338"/>
      <c r="AF31" s="338"/>
      <c r="AG31" s="338"/>
      <c r="AH31" s="338"/>
      <c r="AI31" s="338"/>
      <c r="AJ31" s="1651"/>
      <c r="AQ31" s="1647">
        <v>0</v>
      </c>
    </row>
    <row s="1869" customFormat="1" customHeight="1" ht="18.75" hidden="1">
      <c r="A32" s="1264"/>
      <c r="B32" s="1264"/>
      <c r="C32" s="1264"/>
      <c r="D32" s="1264"/>
      <c r="E32" s="1264"/>
      <c r="F32" s="1264"/>
      <c r="G32" s="1264"/>
      <c r="H32" s="1264"/>
      <c r="I32" s="1264"/>
      <c r="J32" s="1264"/>
      <c r="K32" s="1264"/>
      <c r="L32" s="1396"/>
      <c r="M32" s="1264"/>
      <c r="N32" s="1264"/>
      <c r="O32" s="1264"/>
      <c r="P32" s="1384"/>
      <c r="Q32" s="1384"/>
      <c r="S32" s="2266" t="s">
        <v>573</v>
      </c>
      <c r="T32" s="2266"/>
      <c r="U32" s="1388"/>
      <c r="V32" s="2280" t="str">
        <f>IF(TITLE_DATE_PR_CHANGE="",IF(TITLE_DATE_PR="","",TITLE_DATE_PR),TITLE_DATE_PR_CHANGE)</f>
        <v>45910</v>
      </c>
      <c r="W32" s="2280"/>
      <c r="X32" s="2280"/>
      <c r="Y32" s="2280"/>
      <c r="Z32" s="2280"/>
      <c r="AA32" s="1651"/>
      <c r="AB32" s="1651"/>
      <c r="AC32" s="2280"/>
      <c r="AD32" s="2280"/>
      <c r="AE32" s="2280"/>
      <c r="AF32" s="2280"/>
      <c r="AG32" s="2280"/>
      <c r="AH32" s="2280"/>
      <c r="AI32" s="1651"/>
      <c r="AJ32" s="1651"/>
      <c r="AK32" s="296"/>
      <c r="AL32" s="384"/>
      <c r="AM32" s="384"/>
      <c r="AN32" s="384"/>
      <c r="AO32" s="384"/>
      <c r="AP32" s="384"/>
      <c r="AQ32" s="434">
        <v>0</v>
      </c>
    </row>
    <row s="1869" customFormat="1" customHeight="1" ht="18" hidden="1">
      <c r="A33" s="1264"/>
      <c r="B33" s="1264"/>
      <c r="C33" s="1264"/>
      <c r="D33" s="1264"/>
      <c r="E33" s="1264"/>
      <c r="F33" s="1264"/>
      <c r="G33" s="1264"/>
      <c r="H33" s="1264"/>
      <c r="I33" s="1264"/>
      <c r="J33" s="1264"/>
      <c r="K33" s="1264"/>
      <c r="L33" s="1396"/>
      <c r="M33" s="1264"/>
      <c r="N33" s="1264"/>
      <c r="O33" s="1264"/>
      <c r="P33" s="1384"/>
      <c r="Q33" s="1384"/>
      <c r="S33" s="2266" t="s">
        <v>574</v>
      </c>
      <c r="T33" s="2266"/>
      <c r="U33" s="1388"/>
      <c r="V33" s="2267" t="str">
        <f>IF(TITLE_NUMBER_PR_CHANGE="",IF(TITLE_NUMBER_PR="","",TITLE_NUMBER_PR),TITLE_NUMBER_PR_CHANGE)</f>
        <v>37/2</v>
      </c>
      <c r="W33" s="2267"/>
      <c r="X33" s="2267"/>
      <c r="Y33" s="2267"/>
      <c r="Z33" s="2267"/>
      <c r="AA33" s="1651"/>
      <c r="AB33" s="1651"/>
      <c r="AC33" s="2267"/>
      <c r="AD33" s="2267"/>
      <c r="AE33" s="2267"/>
      <c r="AF33" s="2267"/>
      <c r="AG33" s="2267"/>
      <c r="AH33" s="2267"/>
      <c r="AI33" s="1651"/>
      <c r="AJ33" s="1651"/>
      <c r="AK33" s="296"/>
      <c r="AL33" s="384"/>
      <c r="AM33" s="384"/>
      <c r="AN33" s="384"/>
      <c r="AO33" s="384"/>
      <c r="AP33" s="384"/>
      <c r="AQ33" s="434">
        <v>0</v>
      </c>
    </row>
    <row s="1869" customFormat="1" customHeight="1" ht="1.05">
      <c r="A34" s="1264"/>
      <c r="B34" s="1264"/>
      <c r="C34" s="1264"/>
      <c r="D34" s="1264"/>
      <c r="E34" s="1264"/>
      <c r="F34" s="1264"/>
      <c r="G34" s="1264"/>
      <c r="H34" s="1264"/>
      <c r="I34" s="1264"/>
      <c r="J34" s="1264"/>
      <c r="K34" s="1264"/>
      <c r="L34" s="1396"/>
      <c r="M34" s="1264"/>
      <c r="N34" s="1264"/>
      <c r="O34" s="1264"/>
      <c r="P34" s="1384"/>
      <c r="Q34" s="1384"/>
      <c r="S34" s="1651"/>
      <c r="T34" s="1651"/>
      <c r="U34" s="1986"/>
      <c r="V34" s="1651"/>
      <c r="W34" s="1651"/>
      <c r="X34" s="1651"/>
      <c r="Y34" s="1651"/>
      <c r="Z34" s="1651"/>
      <c r="AA34" s="1658" t="s">
        <v>577</v>
      </c>
      <c r="AB34" s="1658"/>
      <c r="AC34" s="1651"/>
      <c r="AD34" s="1651"/>
      <c r="AE34" s="1651"/>
      <c r="AF34" s="1651"/>
      <c r="AG34" s="1651"/>
      <c r="AH34" s="1651"/>
      <c r="AI34" s="1658" t="s">
        <v>577</v>
      </c>
      <c r="AL34" s="384"/>
      <c r="AM34" s="384"/>
      <c r="AN34" s="384"/>
      <c r="AO34" s="384"/>
      <c r="AP34" s="384"/>
      <c r="AQ34" s="434">
        <v>1</v>
      </c>
    </row>
    <row customHeight="1" ht="14.699999999999998">
      <c r="Q35" s="307"/>
      <c r="R35" s="392"/>
      <c r="S35" s="1291"/>
      <c r="T35" s="473"/>
      <c r="U35" s="1260"/>
      <c r="V35" s="2268"/>
      <c r="W35" s="2268"/>
      <c r="X35" s="2268"/>
      <c r="Y35" s="2268"/>
      <c r="Z35" s="2268"/>
      <c r="AA35" s="2268"/>
      <c r="AB35" s="1973"/>
      <c r="AC35" s="2268"/>
      <c r="AD35" s="2268"/>
      <c r="AE35" s="2268"/>
      <c r="AF35" s="2268"/>
      <c r="AG35" s="2268"/>
      <c r="AH35" s="2268"/>
      <c r="AI35" s="2268"/>
      <c r="AQ35" s="1647">
        <v>14</v>
      </c>
    </row>
    <row customHeight="1" ht="14.699999999999998">
      <c r="Q36" s="307"/>
      <c r="R36" s="392"/>
      <c r="S36" s="2143" t="s">
        <v>453</v>
      </c>
      <c r="T36" s="2143"/>
      <c r="U36" s="2143"/>
      <c r="V36" s="2143"/>
      <c r="W36" s="2143"/>
      <c r="X36" s="2143"/>
      <c r="Y36" s="2143"/>
      <c r="Z36" s="2143"/>
      <c r="AA36" s="2191"/>
      <c r="AB36" s="2191"/>
      <c r="AC36" s="2191"/>
      <c r="AD36" s="2143"/>
      <c r="AE36" s="2143"/>
      <c r="AF36" s="2143"/>
      <c r="AG36" s="2143"/>
      <c r="AH36" s="2143"/>
      <c r="AI36" s="2143"/>
      <c r="AJ36" s="2143"/>
      <c r="AK36" s="2143" t="s">
        <v>454</v>
      </c>
      <c r="AQ36" s="1647">
        <v>14</v>
      </c>
    </row>
    <row customHeight="1" ht="14.699999999999998">
      <c r="Q37" s="307"/>
      <c r="R37" s="392"/>
      <c r="S37" s="2289" t="s">
        <v>91</v>
      </c>
      <c r="T37" s="2225" t="s">
        <v>652</v>
      </c>
      <c r="U37" s="353"/>
      <c r="V37" s="2291"/>
      <c r="W37" s="2291"/>
      <c r="X37" s="2291"/>
      <c r="Y37" s="2291"/>
      <c r="Z37" s="2291"/>
      <c r="AA37" s="2225" t="s">
        <v>580</v>
      </c>
      <c r="AB37" s="2224" t="s">
        <v>653</v>
      </c>
      <c r="AC37" s="2224" t="s">
        <v>623</v>
      </c>
      <c r="AD37" s="2307" t="s">
        <v>579</v>
      </c>
      <c r="AE37" s="2307"/>
      <c r="AF37" s="2291"/>
      <c r="AG37" s="2291"/>
      <c r="AH37" s="2292"/>
      <c r="AI37" s="2293" t="s">
        <v>580</v>
      </c>
      <c r="AJ37" s="2296" t="s">
        <v>582</v>
      </c>
      <c r="AK37" s="2143"/>
      <c r="AQ37" s="1647">
        <v>14</v>
      </c>
    </row>
    <row customHeight="1" ht="35.699999999999996">
      <c r="Q38" s="307"/>
      <c r="R38" s="392"/>
      <c r="S38" s="2289"/>
      <c r="T38" s="2225"/>
      <c r="U38" s="1047"/>
      <c r="V38" s="2119" t="s">
        <v>626</v>
      </c>
      <c r="W38" s="2143"/>
      <c r="X38" s="2310" t="s">
        <v>586</v>
      </c>
      <c r="Y38" s="2329"/>
      <c r="Z38" s="2329"/>
      <c r="AA38" s="2225"/>
      <c r="AB38" s="2224"/>
      <c r="AC38" s="2224"/>
      <c r="AD38" s="2119" t="s">
        <v>626</v>
      </c>
      <c r="AE38" s="2143"/>
      <c r="AF38" s="2329" t="s">
        <v>586</v>
      </c>
      <c r="AG38" s="2329"/>
      <c r="AH38" s="2330"/>
      <c r="AI38" s="2294"/>
      <c r="AJ38" s="2297"/>
      <c r="AK38" s="2143"/>
      <c r="AQ38" s="1647">
        <v>34</v>
      </c>
    </row>
    <row customHeight="1" ht="14.699999999999998">
      <c r="Q39" s="307"/>
      <c r="R39" s="392"/>
      <c r="S39" s="2289"/>
      <c r="T39" s="2225"/>
      <c r="U39" s="1047"/>
      <c r="V39" s="2356" t="str">
        <f>IF($AD$39&lt;&gt;"",$AD$39,"")</f>
        <v/>
      </c>
      <c r="W39" s="2356"/>
      <c r="X39" s="2311"/>
      <c r="Y39" s="2331"/>
      <c r="Z39" s="2331"/>
      <c r="AA39" s="2225"/>
      <c r="AB39" s="2224"/>
      <c r="AC39" s="2224"/>
      <c r="AD39" s="2372"/>
      <c r="AE39" s="2355"/>
      <c r="AF39" s="2331"/>
      <c r="AG39" s="2331"/>
      <c r="AH39" s="2332"/>
      <c r="AI39" s="2294"/>
      <c r="AJ39" s="2297"/>
      <c r="AK39" s="2143"/>
      <c r="AQ39" s="1647">
        <v>14</v>
      </c>
    </row>
    <row customHeight="1" ht="14.699999999999998">
      <c r="A40" s="1282"/>
      <c r="B40" s="1282" t="s">
        <v>204</v>
      </c>
      <c r="C40" s="1282" t="s">
        <v>205</v>
      </c>
      <c r="D40" s="1282" t="s">
        <v>206</v>
      </c>
      <c r="E40" s="1326" t="s">
        <v>587</v>
      </c>
      <c r="F40" s="1326" t="s">
        <v>588</v>
      </c>
      <c r="G40" s="1326" t="s">
        <v>589</v>
      </c>
      <c r="H40" s="1326" t="s">
        <v>590</v>
      </c>
      <c r="I40" s="1326" t="s">
        <v>591</v>
      </c>
      <c r="J40" s="1326" t="s">
        <v>592</v>
      </c>
      <c r="K40" s="1326" t="s">
        <v>593</v>
      </c>
      <c r="L40" s="1326" t="s">
        <v>568</v>
      </c>
      <c r="Q40" s="307"/>
      <c r="R40" s="392"/>
      <c r="S40" s="2289"/>
      <c r="T40" s="2225"/>
      <c r="U40" s="318"/>
      <c r="V40" s="1966" t="s">
        <v>628</v>
      </c>
      <c r="W40" s="1966" t="s">
        <v>629</v>
      </c>
      <c r="X40" s="1954" t="s">
        <v>596</v>
      </c>
      <c r="Y40" s="2286" t="s">
        <v>597</v>
      </c>
      <c r="Z40" s="2336"/>
      <c r="AA40" s="2225"/>
      <c r="AB40" s="2224"/>
      <c r="AC40" s="2224"/>
      <c r="AD40" s="1984" t="s">
        <v>628</v>
      </c>
      <c r="AE40" s="1975" t="s">
        <v>629</v>
      </c>
      <c r="AF40" s="1954" t="s">
        <v>596</v>
      </c>
      <c r="AG40" s="2286" t="s">
        <v>597</v>
      </c>
      <c r="AH40" s="2287"/>
      <c r="AI40" s="2295"/>
      <c r="AJ40" s="2298"/>
      <c r="AK40" s="2143"/>
      <c r="AQ40" s="1647">
        <v>14</v>
      </c>
    </row>
    <row s="1657" customFormat="1" customHeight="1" ht="11.25" hidden="1">
      <c r="A41" s="1282"/>
      <c r="B41" s="1282"/>
      <c r="C41" s="1282"/>
      <c r="D41" s="1282"/>
      <c r="E41" s="1282"/>
      <c r="F41" s="1282"/>
      <c r="G41" s="1282"/>
      <c r="H41" s="1282"/>
      <c r="I41" s="1282"/>
      <c r="J41" s="1282"/>
      <c r="K41" s="1282"/>
      <c r="L41" s="1326"/>
      <c r="M41" s="1981"/>
      <c r="N41" s="1981"/>
      <c r="O41" s="1981"/>
      <c r="P41" s="526"/>
      <c r="Q41" s="1270"/>
      <c r="R41" s="1270">
        <v>1</v>
      </c>
      <c r="S41" s="1293" t="s">
        <v>141</v>
      </c>
      <c r="T41" s="1271" t="s">
        <v>107</v>
      </c>
      <c r="U41" s="1261" t="str">
        <f>OFFSET(U41,0,-1)</f>
        <v>2</v>
      </c>
      <c r="V41" s="1972">
        <f>OFFSET(V41,0,-1)+1</f>
        <v>3</v>
      </c>
      <c r="W41" s="1972">
        <f>OFFSET(W41,0,-1)+1</f>
        <v>4</v>
      </c>
      <c r="X41" s="1972">
        <f>OFFSET(X41,0,-1)+1</f>
        <v>5</v>
      </c>
      <c r="Y41" s="2288">
        <f>OFFSET(Y41,0,-1)+1</f>
        <v>6</v>
      </c>
      <c r="Z41" s="2288"/>
      <c r="AA41" s="1357">
        <f>OFFSET(AA41,0,-2)+1</f>
        <v>7</v>
      </c>
      <c r="AB41" s="1357"/>
      <c r="AC41" s="1357"/>
      <c r="AD41" s="1972">
        <f>OFFSET(AD41,0,-1)+1</f>
        <v>1</v>
      </c>
      <c r="AE41" s="1972">
        <f>OFFSET(AE41,0,-1)+1</f>
        <v>2</v>
      </c>
      <c r="AF41" s="1972">
        <f>OFFSET(AF41,0,-1)+1</f>
        <v>3</v>
      </c>
      <c r="AG41" s="2288">
        <f>OFFSET(AG41,0,-1)+1</f>
        <v>4</v>
      </c>
      <c r="AH41" s="2288"/>
      <c r="AI41" s="1972">
        <f>OFFSET(AI41,0,-2)+1</f>
        <v>5</v>
      </c>
      <c r="AJ41" s="1261">
        <f>OFFSET(AJ41,0,-1)</f>
        <v>5</v>
      </c>
      <c r="AK41" s="1972">
        <f>OFFSET(AK41,0,-1)+1</f>
        <v>6</v>
      </c>
      <c r="AL41" s="1652"/>
      <c r="AM41" s="1652"/>
      <c r="AN41" s="1652"/>
      <c r="AO41" s="1652"/>
      <c r="AP41" s="1652"/>
      <c r="AQ41" s="1657">
        <v>0</v>
      </c>
    </row>
    <row customHeight="1" ht="107.25">
      <c r="A42" s="1283" t="s">
        <v>359</v>
      </c>
      <c r="B42" s="1283"/>
      <c r="C42" s="1283"/>
      <c r="D42" s="1283"/>
      <c r="E42" s="2305">
        <v>1</v>
      </c>
      <c r="F42" s="1283"/>
      <c r="G42" s="1283"/>
      <c r="H42" s="1283"/>
      <c r="I42" s="1283"/>
      <c r="J42" s="1283"/>
      <c r="K42" s="1283"/>
      <c r="L42" s="1326"/>
      <c r="M42" s="1626"/>
      <c r="N42" s="1626"/>
      <c r="O42" s="1626"/>
      <c r="P42" s="1425"/>
      <c r="Q42" s="889"/>
      <c r="R42" s="371"/>
      <c r="S42" s="1974">
        <f>INDEX(PT_DIFFERENTIATION_NUM_NTAR,MATCH(A42,PT_DIFFERENTIATION_NTAR_ID,0))</f>
        <v>0</v>
      </c>
      <c r="T42" s="1541" t="s">
        <v>192</v>
      </c>
      <c r="U42" s="316"/>
      <c r="V42" s="2259"/>
      <c r="W42" s="2259"/>
      <c r="X42" s="2259"/>
      <c r="Y42" s="2259"/>
      <c r="Z42" s="2259"/>
      <c r="AA42" s="2260"/>
      <c r="AB42" s="1968"/>
      <c r="AC42" s="2259" t="str">
        <f>INDEX(PT_DIFFERENTIATION_NTAR,MATCH(A42,PT_DIFFERENTIATION_NTAR_ID,0))</f>
        <v/>
      </c>
      <c r="AD42" s="2259"/>
      <c r="AE42" s="2259"/>
      <c r="AF42" s="2259"/>
      <c r="AG42" s="2259"/>
      <c r="AH42" s="2259"/>
      <c r="AI42" s="2259"/>
      <c r="AJ42" s="2260"/>
      <c r="AK42"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40"/>
      <c r="AN42" s="1640" t="str">
        <f>IF(T42="","",T42)</f>
        <v>Наименование тарифа</v>
      </c>
      <c r="AO42" s="1640"/>
      <c r="AP42" s="1640"/>
      <c r="AQ42" s="1647">
        <v>102</v>
      </c>
    </row>
    <row customHeight="1" ht="22.049999999999997">
      <c r="A43" s="1283" t="s">
        <v>359</v>
      </c>
      <c r="B43" s="1283" t="s">
        <v>360</v>
      </c>
      <c r="C43" s="1283"/>
      <c r="D43" s="1283"/>
      <c r="E43" s="2306"/>
      <c r="F43" s="2305">
        <v>1</v>
      </c>
      <c r="G43" s="1283"/>
      <c r="H43" s="1283"/>
      <c r="I43" s="1283"/>
      <c r="J43" s="1283"/>
      <c r="K43" s="1283"/>
      <c r="L43" s="1326"/>
      <c r="M43" s="1626"/>
      <c r="N43" s="1626"/>
      <c r="O43" s="1626"/>
      <c r="P43" s="1985"/>
      <c r="Q43" s="1427"/>
      <c r="R43" s="369"/>
      <c r="S43" s="1974" t="str">
        <f>INDEX(PT_DIFFERENTIATION_NUM_TER,MATCH(B43,PT_DIFFERENTIATION_TER_ID,0))</f>
        <v>.</v>
      </c>
      <c r="T43" s="1538" t="s">
        <v>550</v>
      </c>
      <c r="U43" s="316"/>
      <c r="V43" s="2259"/>
      <c r="W43" s="2259"/>
      <c r="X43" s="2259"/>
      <c r="Y43" s="2259"/>
      <c r="Z43" s="2259"/>
      <c r="AA43" s="2260"/>
      <c r="AB43" s="1968"/>
      <c r="AC43" s="2259" t="str">
        <f>INDEX(PT_DIFFERENTIATION_TER,MATCH(B43,PT_DIFFERENTIATION_TER_ID,0))</f>
        <v/>
      </c>
      <c r="AD43" s="2259"/>
      <c r="AE43" s="2259"/>
      <c r="AF43" s="2259"/>
      <c r="AG43" s="2259"/>
      <c r="AH43" s="2259"/>
      <c r="AI43" s="2259"/>
      <c r="AJ43" s="2260"/>
      <c r="AK43" s="1274" t="s">
        <v>551</v>
      </c>
      <c r="AM43" s="1640"/>
      <c r="AN43" s="1640" t="str">
        <f>IF(T43="","",T43)</f>
        <v>Территория действия тарифа</v>
      </c>
      <c r="AO43" s="1640"/>
      <c r="AP43" s="1640"/>
      <c r="AQ43" s="1647">
        <v>21</v>
      </c>
    </row>
    <row customHeight="1" ht="24">
      <c r="A44" s="1283" t="s">
        <v>359</v>
      </c>
      <c r="B44" s="1283" t="s">
        <v>360</v>
      </c>
      <c r="C44" s="1283" t="s">
        <v>361</v>
      </c>
      <c r="D44" s="1283"/>
      <c r="E44" s="2306"/>
      <c r="F44" s="2306"/>
      <c r="G44" s="2305">
        <v>1</v>
      </c>
      <c r="H44" s="1283"/>
      <c r="I44" s="1283"/>
      <c r="J44" s="1283"/>
      <c r="K44" s="1283"/>
      <c r="L44" s="1326"/>
      <c r="M44" s="1626"/>
      <c r="N44" s="1626"/>
      <c r="O44" s="1626"/>
      <c r="P44" s="1428"/>
      <c r="Q44" s="1427"/>
      <c r="R44" s="369"/>
      <c r="S44" s="1974" t="str">
        <f>INDEX(PT_DIFFERENTIATION_NUM_CS,MATCH(C44,PT_DIFFERENTIATION_CS_ID,0))</f>
        <v>..</v>
      </c>
      <c r="T44" s="325" t="s">
        <v>552</v>
      </c>
      <c r="U44" s="316"/>
      <c r="V44" s="2259"/>
      <c r="W44" s="2259"/>
      <c r="X44" s="2259"/>
      <c r="Y44" s="2259"/>
      <c r="Z44" s="2259"/>
      <c r="AA44" s="2260"/>
      <c r="AB44" s="1968"/>
      <c r="AC44" s="2259" t="str">
        <f>INDEX(PT_DIFFERENTIATION_CS,MATCH(C44,PT_DIFFERENTIATION_CS_ID,0))</f>
        <v/>
      </c>
      <c r="AD44" s="2259"/>
      <c r="AE44" s="2259"/>
      <c r="AF44" s="2259"/>
      <c r="AG44" s="2259"/>
      <c r="AH44" s="2259"/>
      <c r="AI44" s="2259"/>
      <c r="AJ44" s="2260"/>
      <c r="AK44" s="1274" t="s">
        <v>553</v>
      </c>
      <c r="AM44" s="1640"/>
      <c r="AN44" s="1640" t="str">
        <f>IF(T44="","",T44)</f>
        <v>Наименование системы теплоснабжения </v>
      </c>
      <c r="AO44" s="1640"/>
      <c r="AP44" s="1640"/>
      <c r="AQ44" s="1647">
        <v>23</v>
      </c>
    </row>
    <row customHeight="1" ht="22.049999999999997">
      <c r="A45" s="1283" t="s">
        <v>359</v>
      </c>
      <c r="B45" s="1283" t="s">
        <v>360</v>
      </c>
      <c r="C45" s="1283" t="s">
        <v>361</v>
      </c>
      <c r="D45" s="1283" t="s">
        <v>362</v>
      </c>
      <c r="E45" s="2306"/>
      <c r="F45" s="2306"/>
      <c r="G45" s="2306"/>
      <c r="H45" s="2305">
        <v>1</v>
      </c>
      <c r="I45" s="1283"/>
      <c r="J45" s="1283"/>
      <c r="K45" s="1283"/>
      <c r="L45" s="1326"/>
      <c r="M45" s="1626"/>
      <c r="N45" s="1626"/>
      <c r="O45" s="1626"/>
      <c r="P45" s="1428"/>
      <c r="Q45" s="1427"/>
      <c r="R45" s="369"/>
      <c r="S45" s="1974" t="str">
        <f>INDEX(PT_DIFFERENTIATION_NUM_IST_TE,MATCH(D45,PT_DIFFERENTIATION_IST_TE_ID,0))</f>
        <v>...</v>
      </c>
      <c r="T45" s="326" t="s">
        <v>554</v>
      </c>
      <c r="U45" s="316"/>
      <c r="V45" s="2259"/>
      <c r="W45" s="2259"/>
      <c r="X45" s="2259"/>
      <c r="Y45" s="2259"/>
      <c r="Z45" s="2259"/>
      <c r="AA45" s="2260"/>
      <c r="AB45" s="1968"/>
      <c r="AC45" s="2259" t="str">
        <f>INDEX(PT_DIFFERENTIATION_IST_TE,MATCH(D45,PT_DIFFERENTIATION_IST_TE_ID,0))</f>
        <v/>
      </c>
      <c r="AD45" s="2259"/>
      <c r="AE45" s="2259"/>
      <c r="AF45" s="2259"/>
      <c r="AG45" s="2259"/>
      <c r="AH45" s="2259"/>
      <c r="AI45" s="2259"/>
      <c r="AJ45" s="2260"/>
      <c r="AK45" s="1274" t="s">
        <v>555</v>
      </c>
      <c r="AM45" s="1640"/>
      <c r="AN45" s="1640" t="str">
        <f>IF(T45="","",T45)</f>
        <v>Источник тепловой энергии  </v>
      </c>
      <c r="AO45" s="1640"/>
      <c r="AP45" s="1640"/>
      <c r="AQ45" s="1647">
        <v>21</v>
      </c>
    </row>
    <row s="1658" customFormat="1" customHeight="1" ht="0">
      <c r="A46" s="1391" t="s">
        <v>359</v>
      </c>
      <c r="B46" s="1391" t="s">
        <v>360</v>
      </c>
      <c r="C46" s="1391" t="s">
        <v>361</v>
      </c>
      <c r="D46" s="1391" t="s">
        <v>362</v>
      </c>
      <c r="E46" s="2306"/>
      <c r="F46" s="2306"/>
      <c r="G46" s="2306"/>
      <c r="H46" s="2306"/>
      <c r="I46" s="2143" t="str">
        <f>S45&amp;".1"</f>
        <v>....1</v>
      </c>
      <c r="J46" s="1391"/>
      <c r="K46" s="1391"/>
      <c r="L46" s="1397" t="s">
        <v>556</v>
      </c>
      <c r="M46" s="1262"/>
      <c r="N46" s="1262"/>
      <c r="O46" s="1262"/>
      <c r="P46" s="2273">
        <v>1</v>
      </c>
      <c r="Q46" s="1970"/>
      <c r="R46" s="372"/>
      <c r="S46" s="1058"/>
      <c r="T46" s="1399"/>
      <c r="U46" s="1400"/>
      <c r="V46" s="2313"/>
      <c r="W46" s="2313"/>
      <c r="X46" s="2313"/>
      <c r="Y46" s="2313"/>
      <c r="Z46" s="2313"/>
      <c r="AA46" s="2314"/>
      <c r="AB46" s="1976"/>
      <c r="AC46" s="2313"/>
      <c r="AD46" s="2313"/>
      <c r="AE46" s="2313"/>
      <c r="AF46" s="2313"/>
      <c r="AG46" s="2313"/>
      <c r="AH46" s="2313"/>
      <c r="AI46" s="2313"/>
      <c r="AJ46" s="2314"/>
      <c r="AK46" s="1401"/>
      <c r="AM46" s="1640"/>
      <c r="AN46" s="1640" t="str">
        <f>IF(T46="","",T46)</f>
        <v/>
      </c>
      <c r="AO46" s="1640"/>
      <c r="AP46" s="1640"/>
      <c r="AQ46" s="1652">
        <v>0</v>
      </c>
    </row>
    <row s="1658" customFormat="1" customHeight="1" ht="0">
      <c r="A47" s="1391" t="s">
        <v>359</v>
      </c>
      <c r="B47" s="1391" t="s">
        <v>360</v>
      </c>
      <c r="C47" s="1391" t="s">
        <v>361</v>
      </c>
      <c r="D47" s="1391" t="s">
        <v>362</v>
      </c>
      <c r="E47" s="2306"/>
      <c r="F47" s="2306"/>
      <c r="G47" s="2306"/>
      <c r="H47" s="2306"/>
      <c r="I47" s="2117"/>
      <c r="J47" s="2143" t="str">
        <f>S45&amp;".1"</f>
        <v>....1</v>
      </c>
      <c r="K47" s="1391"/>
      <c r="L47" s="1397"/>
      <c r="M47" s="1262"/>
      <c r="N47" s="1262"/>
      <c r="O47" s="1262"/>
      <c r="P47" s="2273"/>
      <c r="Q47" s="2273">
        <v>1</v>
      </c>
      <c r="R47" s="373"/>
      <c r="S47" s="1058"/>
      <c r="T47" s="1415"/>
      <c r="U47" s="1400"/>
      <c r="V47" s="2313"/>
      <c r="W47" s="2313"/>
      <c r="X47" s="2313"/>
      <c r="Y47" s="2313"/>
      <c r="Z47" s="2313"/>
      <c r="AA47" s="2314"/>
      <c r="AB47" s="1976"/>
      <c r="AC47" s="2313"/>
      <c r="AD47" s="2313"/>
      <c r="AE47" s="2313"/>
      <c r="AF47" s="2313"/>
      <c r="AG47" s="2313"/>
      <c r="AH47" s="2313"/>
      <c r="AI47" s="2313"/>
      <c r="AJ47" s="2314"/>
      <c r="AK47" s="1401"/>
      <c r="AM47" s="1640"/>
      <c r="AN47" s="1640" t="str">
        <f>IF(T47="","",T47)</f>
        <v/>
      </c>
      <c r="AO47" s="1640"/>
      <c r="AP47" s="1640"/>
      <c r="AQ47" s="1652">
        <v>0</v>
      </c>
    </row>
    <row customHeight="1" ht="22.049999999999997">
      <c r="A48" s="1283" t="s">
        <v>359</v>
      </c>
      <c r="B48" s="1283" t="s">
        <v>360</v>
      </c>
      <c r="C48" s="1283" t="s">
        <v>361</v>
      </c>
      <c r="D48" s="1283" t="s">
        <v>362</v>
      </c>
      <c r="E48" s="2306"/>
      <c r="F48" s="2306"/>
      <c r="G48" s="2306"/>
      <c r="H48" s="2306"/>
      <c r="I48" s="2117"/>
      <c r="J48" s="2117"/>
      <c r="K48" s="1957" t="str">
        <f>S45&amp;".1"</f>
        <v>....1</v>
      </c>
      <c r="L48" s="1326"/>
      <c r="P48" s="2273"/>
      <c r="Q48" s="2273"/>
      <c r="R48" s="373">
        <v>1</v>
      </c>
      <c r="S48" s="1978" t="str">
        <f>$K48</f>
        <v>....1</v>
      </c>
      <c r="T48" s="1977"/>
      <c r="U48" s="316"/>
      <c r="V48" s="767"/>
      <c r="W48" s="1273"/>
      <c r="X48" s="1971"/>
      <c r="Y48" s="1958" t="s">
        <v>64</v>
      </c>
      <c r="Z48" s="1971"/>
      <c r="AA48" s="1958" t="s">
        <v>64</v>
      </c>
      <c r="AB48" s="1980"/>
      <c r="AC48" s="1979" t="s">
        <v>28</v>
      </c>
      <c r="AD48" s="767"/>
      <c r="AE48" s="1273"/>
      <c r="AF48" s="1971"/>
      <c r="AG48" s="1958" t="s">
        <v>64</v>
      </c>
      <c r="AH48" s="1971"/>
      <c r="AI48" s="1958" t="s">
        <v>64</v>
      </c>
      <c r="AJ48" s="1364"/>
      <c r="AK48" s="2269" t="s">
        <v>631</v>
      </c>
      <c r="AL48" s="1652">
        <f>STRCHECKDATE(#REF!)</f>
      </c>
      <c r="AM48" s="1640"/>
      <c r="AN48" s="1640" t="str">
        <f>IF(T48="","",T48)</f>
        <v/>
      </c>
      <c r="AO48" s="1640"/>
      <c r="AP48" s="1640"/>
      <c r="AQ48" s="1647">
        <v>21</v>
      </c>
    </row>
    <row customHeight="1" ht="11.549999999999999">
      <c r="A49" s="1283" t="s">
        <v>359</v>
      </c>
      <c r="B49" s="1283" t="s">
        <v>360</v>
      </c>
      <c r="C49" s="1283" t="s">
        <v>361</v>
      </c>
      <c r="D49" s="1283" t="s">
        <v>362</v>
      </c>
      <c r="E49" s="2306"/>
      <c r="F49" s="2306"/>
      <c r="G49" s="2306"/>
      <c r="H49" s="2306"/>
      <c r="I49" s="2117"/>
      <c r="J49" s="2143"/>
      <c r="K49" s="1283"/>
      <c r="L49" s="1326"/>
      <c r="P49" s="2273"/>
      <c r="Q49" s="2273"/>
      <c r="R49" s="372"/>
      <c r="S49" s="1294"/>
      <c r="T49" s="303" t="s">
        <v>617</v>
      </c>
      <c r="U49" s="616"/>
      <c r="V49" s="616"/>
      <c r="W49" s="616"/>
      <c r="X49" s="616"/>
      <c r="Y49" s="616"/>
      <c r="Z49" s="616"/>
      <c r="AA49" s="340"/>
      <c r="AB49" s="616"/>
      <c r="AC49" s="616"/>
      <c r="AD49" s="616"/>
      <c r="AE49" s="616"/>
      <c r="AF49" s="616"/>
      <c r="AG49" s="616"/>
      <c r="AH49" s="616"/>
      <c r="AI49" s="616"/>
      <c r="AJ49" s="340"/>
      <c r="AK49" s="2271"/>
      <c r="AM49" s="1640"/>
      <c r="AN49" s="1640" t="str">
        <f>IF(T49="","",T49)</f>
        <v>Добавить строку</v>
      </c>
      <c r="AO49" s="1640"/>
      <c r="AP49" s="1640"/>
      <c r="AQ49" s="1647">
        <v>11</v>
      </c>
    </row>
    <row s="1658" customFormat="1" customHeight="1" ht="1.05">
      <c r="A50" s="1391" t="s">
        <v>359</v>
      </c>
      <c r="B50" s="1391" t="s">
        <v>360</v>
      </c>
      <c r="C50" s="1391" t="s">
        <v>361</v>
      </c>
      <c r="D50" s="1391" t="s">
        <v>362</v>
      </c>
      <c r="E50" s="2306"/>
      <c r="F50" s="2306"/>
      <c r="G50" s="2306"/>
      <c r="H50" s="2306"/>
      <c r="I50" s="2143"/>
      <c r="J50" s="1391"/>
      <c r="K50" s="1391"/>
      <c r="L50" s="1397"/>
      <c r="M50" s="1262"/>
      <c r="N50" s="1262"/>
      <c r="O50" s="1262"/>
      <c r="P50" s="2273"/>
      <c r="Q50" s="1970"/>
      <c r="R50" s="372"/>
      <c r="S50" s="1402"/>
      <c r="T50" s="1403" t="s">
        <v>565</v>
      </c>
      <c r="U50" s="1404"/>
      <c r="V50" s="1404"/>
      <c r="W50" s="1404"/>
      <c r="X50" s="1404"/>
      <c r="Y50" s="1404"/>
      <c r="Z50" s="1404"/>
      <c r="AA50" s="1404"/>
      <c r="AB50" s="1404"/>
      <c r="AC50" s="1404"/>
      <c r="AD50" s="1404"/>
      <c r="AE50" s="1404"/>
      <c r="AF50" s="1404"/>
      <c r="AG50" s="1404"/>
      <c r="AH50" s="1404"/>
      <c r="AI50" s="1404"/>
      <c r="AJ50" s="1404"/>
      <c r="AK50" s="1405"/>
      <c r="AM50" s="1640"/>
      <c r="AN50" s="1640" t="str">
        <f>IF(T50="","",T50)</f>
        <v>Добавить группу потребителей</v>
      </c>
      <c r="AO50" s="1640"/>
      <c r="AP50" s="1640"/>
      <c r="AQ50" s="1652">
        <v>1</v>
      </c>
    </row>
    <row s="1657" customFormat="1" customHeight="1" ht="1.05">
      <c r="A51" s="1391" t="s">
        <v>359</v>
      </c>
      <c r="B51" s="1391" t="s">
        <v>360</v>
      </c>
      <c r="C51" s="1391" t="s">
        <v>361</v>
      </c>
      <c r="D51" s="1391" t="s">
        <v>362</v>
      </c>
      <c r="E51" s="2306"/>
      <c r="F51" s="2306"/>
      <c r="G51" s="2306"/>
      <c r="H51" s="2305"/>
      <c r="I51" s="1391"/>
      <c r="J51" s="1391"/>
      <c r="K51" s="1391"/>
      <c r="L51" s="1397"/>
      <c r="M51" s="1394"/>
      <c r="N51" s="1394"/>
      <c r="O51" s="367"/>
      <c r="P51" s="396"/>
      <c r="Q51" s="1360"/>
      <c r="R51" s="1416"/>
      <c r="S51" s="1402"/>
      <c r="T51" s="1403"/>
      <c r="U51" s="1404"/>
      <c r="V51" s="1404"/>
      <c r="W51" s="1404"/>
      <c r="X51" s="1404"/>
      <c r="Y51" s="1404"/>
      <c r="Z51" s="1404"/>
      <c r="AA51" s="1404"/>
      <c r="AB51" s="1404"/>
      <c r="AC51" s="1404"/>
      <c r="AD51" s="1404"/>
      <c r="AE51" s="1404"/>
      <c r="AF51" s="1404"/>
      <c r="AG51" s="1404"/>
      <c r="AH51" s="1404"/>
      <c r="AI51" s="1404"/>
      <c r="AJ51" s="1404"/>
      <c r="AK51" s="1405"/>
      <c r="AL51" s="1652"/>
      <c r="AM51" s="1640"/>
      <c r="AN51" s="1640" t="str">
        <f>IF(T51="","",T51)</f>
        <v/>
      </c>
      <c r="AO51" s="1640"/>
      <c r="AP51" s="1640"/>
      <c r="AQ51" s="1657">
        <v>1</v>
      </c>
    </row>
    <row s="1658" customFormat="1" customHeight="1" ht="1.05">
      <c r="A52" s="1391" t="s">
        <v>359</v>
      </c>
      <c r="B52" s="1391" t="s">
        <v>360</v>
      </c>
      <c r="C52" s="1391" t="s">
        <v>361</v>
      </c>
      <c r="D52" s="1390"/>
      <c r="E52" s="2306"/>
      <c r="F52" s="2306"/>
      <c r="G52" s="2305"/>
      <c r="H52" s="1390"/>
      <c r="I52" s="1390"/>
      <c r="J52" s="1390"/>
      <c r="K52" s="1390"/>
      <c r="L52" s="1393"/>
      <c r="M52" s="1394"/>
      <c r="N52" s="1394"/>
      <c r="O52" s="367"/>
      <c r="P52" s="1332"/>
      <c r="Q52" s="1333"/>
      <c r="R52" s="1332"/>
      <c r="S52" s="1338"/>
      <c r="T52" s="1341" t="s">
        <v>268</v>
      </c>
      <c r="U52" s="1340"/>
      <c r="V52" s="1340"/>
      <c r="W52" s="1340"/>
      <c r="X52" s="1340"/>
      <c r="Y52" s="1340"/>
      <c r="Z52" s="1340"/>
      <c r="AA52" s="1340"/>
      <c r="AB52" s="1340"/>
      <c r="AC52" s="1340"/>
      <c r="AD52" s="1340"/>
      <c r="AE52" s="1340"/>
      <c r="AF52" s="1340"/>
      <c r="AG52" s="1340"/>
      <c r="AH52" s="1340"/>
      <c r="AI52" s="1340"/>
      <c r="AJ52" s="1340"/>
      <c r="AK52" s="1340"/>
      <c r="AM52" s="1267"/>
      <c r="AN52" s="1267" t="str">
        <f>IF(T52="","",T52)</f>
        <v>Добавить источник для дифференциации</v>
      </c>
      <c r="AO52" s="1267"/>
      <c r="AP52" s="1267"/>
      <c r="AQ52" s="1658">
        <v>1</v>
      </c>
    </row>
    <row s="1658" customFormat="1" customHeight="1" ht="1.05">
      <c r="A53" s="1391" t="s">
        <v>359</v>
      </c>
      <c r="B53" s="1391" t="s">
        <v>360</v>
      </c>
      <c r="C53" s="1390"/>
      <c r="D53" s="1390"/>
      <c r="E53" s="2306"/>
      <c r="F53" s="2305"/>
      <c r="G53" s="1390"/>
      <c r="H53" s="1390"/>
      <c r="I53" s="1390"/>
      <c r="J53" s="1390"/>
      <c r="K53" s="1390"/>
      <c r="L53" s="1393"/>
      <c r="M53" s="1395"/>
      <c r="N53" s="1395"/>
      <c r="O53" s="367"/>
      <c r="P53" s="1332"/>
      <c r="Q53" s="1333"/>
      <c r="R53" s="1332"/>
      <c r="S53" s="1338"/>
      <c r="T53" s="1341" t="s">
        <v>269</v>
      </c>
      <c r="U53" s="1340"/>
      <c r="V53" s="1340"/>
      <c r="W53" s="1340"/>
      <c r="X53" s="1340"/>
      <c r="Y53" s="1340"/>
      <c r="Z53" s="1340"/>
      <c r="AA53" s="1340"/>
      <c r="AB53" s="1340"/>
      <c r="AC53" s="1340"/>
      <c r="AD53" s="1340"/>
      <c r="AE53" s="1340"/>
      <c r="AF53" s="1340"/>
      <c r="AG53" s="1340"/>
      <c r="AH53" s="1340"/>
      <c r="AI53" s="1340"/>
      <c r="AJ53" s="1340"/>
      <c r="AK53" s="1340"/>
      <c r="AM53" s="1267"/>
      <c r="AN53" s="1267" t="str">
        <f>IF(T53="","",T53)</f>
        <v>Добавить централизованную систему для дифференциации</v>
      </c>
      <c r="AO53" s="1267"/>
      <c r="AP53" s="1267"/>
      <c r="AQ53" s="1658">
        <v>1</v>
      </c>
    </row>
    <row s="1658" customFormat="1" customHeight="1" ht="1.05">
      <c r="A54" s="1391" t="s">
        <v>359</v>
      </c>
      <c r="B54" s="1391"/>
      <c r="C54" s="1391"/>
      <c r="D54" s="1391"/>
      <c r="E54" s="2306"/>
      <c r="F54" s="1391"/>
      <c r="G54" s="1391"/>
      <c r="H54" s="1391"/>
      <c r="I54" s="1391"/>
      <c r="J54" s="1391"/>
      <c r="K54" s="1391"/>
      <c r="L54" s="1397"/>
      <c r="M54" s="1395"/>
      <c r="N54" s="1395"/>
      <c r="O54" s="367"/>
      <c r="P54" s="396"/>
      <c r="Q54" s="1360"/>
      <c r="R54" s="396"/>
      <c r="S54" s="1338"/>
      <c r="T54" s="1341" t="s">
        <v>330</v>
      </c>
      <c r="U54" s="1340"/>
      <c r="V54" s="1340"/>
      <c r="W54" s="1340"/>
      <c r="X54" s="1340"/>
      <c r="Y54" s="1340"/>
      <c r="Z54" s="1340"/>
      <c r="AA54" s="1340"/>
      <c r="AB54" s="1340"/>
      <c r="AC54" s="1340"/>
      <c r="AD54" s="1340"/>
      <c r="AE54" s="1340"/>
      <c r="AF54" s="1340"/>
      <c r="AG54" s="1340"/>
      <c r="AH54" s="1340"/>
      <c r="AI54" s="1340"/>
      <c r="AJ54" s="1340"/>
      <c r="AK54" s="1340"/>
      <c r="AM54" s="1640"/>
      <c r="AN54" s="1640" t="str">
        <f>IF(T54="","",T54)</f>
        <v>Добавить территорию для дифференциации</v>
      </c>
      <c r="AO54" s="1640"/>
      <c r="AP54" s="1640"/>
      <c r="AQ54" s="1652">
        <v>1</v>
      </c>
    </row>
    <row s="1658" customFormat="1" customHeight="1" ht="1.05">
      <c r="A55" s="1391" t="s">
        <v>359</v>
      </c>
      <c r="B55" s="1391"/>
      <c r="C55" s="1391"/>
      <c r="D55" s="1391"/>
      <c r="E55" s="2305"/>
      <c r="F55" s="1391"/>
      <c r="G55" s="1391"/>
      <c r="H55" s="1391"/>
      <c r="I55" s="1391"/>
      <c r="J55" s="1391"/>
      <c r="K55" s="1391"/>
      <c r="L55" s="1397"/>
      <c r="M55" s="1395"/>
      <c r="N55" s="1395"/>
      <c r="O55" s="367"/>
      <c r="P55" s="396"/>
      <c r="Q55" s="1360"/>
      <c r="R55" s="396"/>
      <c r="S55" s="1338"/>
      <c r="T55" s="1341" t="s">
        <v>330</v>
      </c>
      <c r="U55" s="1340"/>
      <c r="V55" s="1340"/>
      <c r="W55" s="1340"/>
      <c r="X55" s="1340"/>
      <c r="Y55" s="1340"/>
      <c r="Z55" s="1340"/>
      <c r="AA55" s="1340"/>
      <c r="AB55" s="1340"/>
      <c r="AC55" s="1340"/>
      <c r="AD55" s="1340"/>
      <c r="AE55" s="1340"/>
      <c r="AF55" s="1340"/>
      <c r="AG55" s="1340"/>
      <c r="AH55" s="1340"/>
      <c r="AI55" s="1340"/>
      <c r="AJ55" s="1340"/>
      <c r="AK55" s="1340"/>
      <c r="AM55" s="1640"/>
      <c r="AN55" s="1640" t="str">
        <f>IF(T55="","",T55)</f>
        <v>Добавить территорию для дифференциации</v>
      </c>
      <c r="AO55" s="1640"/>
      <c r="AP55" s="1640"/>
      <c r="AQ55" s="1652">
        <v>1</v>
      </c>
    </row>
    <row s="1658" customFormat="1" customHeight="1" ht="1.05">
      <c r="A56" s="1390"/>
      <c r="B56" s="1390"/>
      <c r="C56" s="1390"/>
      <c r="D56" s="1390"/>
      <c r="E56" s="1391"/>
      <c r="F56" s="1390"/>
      <c r="G56" s="1390"/>
      <c r="H56" s="1390"/>
      <c r="I56" s="1390"/>
      <c r="J56" s="1390"/>
      <c r="K56" s="1390"/>
      <c r="L56" s="1393"/>
      <c r="M56" s="1395"/>
      <c r="N56" s="1395"/>
      <c r="O56" s="367"/>
      <c r="P56" s="1332"/>
      <c r="Q56" s="1333"/>
      <c r="R56" s="1332"/>
      <c r="S56" s="1338"/>
      <c r="T56" s="1341" t="s">
        <v>356</v>
      </c>
      <c r="U56" s="1340"/>
      <c r="V56" s="1340"/>
      <c r="W56" s="1340"/>
      <c r="X56" s="1340"/>
      <c r="Y56" s="1340"/>
      <c r="Z56" s="1340"/>
      <c r="AA56" s="1340"/>
      <c r="AB56" s="1340"/>
      <c r="AC56" s="1340"/>
      <c r="AD56" s="1340"/>
      <c r="AE56" s="1340"/>
      <c r="AF56" s="1340"/>
      <c r="AG56" s="1340"/>
      <c r="AH56" s="1340"/>
      <c r="AI56" s="1340"/>
      <c r="AJ56" s="1340"/>
      <c r="AK56" s="1340"/>
      <c r="AM56" s="1267"/>
      <c r="AN56" s="1267" t="str">
        <f>IF(T56="","",T56)</f>
        <v>Добавить наименование тарифа</v>
      </c>
      <c r="AO56" s="1267"/>
      <c r="AP56" s="1267"/>
      <c r="AQ56" s="1658">
        <v>1</v>
      </c>
    </row>
    <row customHeight="1" ht="11.549999999999999">
      <c r="M57" s="1647"/>
      <c r="N57" s="1647"/>
      <c r="O57" s="1651"/>
      <c r="P57" s="1382"/>
      <c r="Q57" s="1382"/>
      <c r="R57" s="1647"/>
      <c r="S57" s="1647"/>
      <c r="AL57" s="1647"/>
      <c r="AM57" s="1647"/>
      <c r="AN57" s="1647"/>
      <c r="AO57" s="1647"/>
      <c r="AP57" s="1647"/>
      <c r="AQ57" s="1647">
        <v>11</v>
      </c>
    </row>
    <row customHeight="1" ht="19.95">
      <c r="O58" s="1651"/>
      <c r="S58" s="1269"/>
      <c r="T58" s="2301"/>
      <c r="U58" s="2301"/>
      <c r="V58" s="2301"/>
      <c r="W58" s="2301"/>
      <c r="X58" s="2301"/>
      <c r="Y58" s="2301"/>
      <c r="Z58" s="2301"/>
      <c r="AA58" s="2301"/>
      <c r="AB58" s="2301"/>
      <c r="AC58" s="2301"/>
      <c r="AD58" s="2301"/>
      <c r="AE58" s="2301"/>
      <c r="AF58" s="2301"/>
      <c r="AG58" s="2301"/>
      <c r="AH58" s="2301"/>
      <c r="AI58" s="2301"/>
      <c r="AJ58" s="2301"/>
      <c r="AK58" s="2301"/>
      <c r="AQ58" s="1647">
        <v>19</v>
      </c>
    </row>
    <row customHeight="1" ht="21">
      <c r="O59" s="1651"/>
      <c r="T59" s="2301"/>
      <c r="U59" s="2301"/>
      <c r="V59" s="2301"/>
      <c r="W59" s="2301"/>
      <c r="X59" s="2301"/>
      <c r="Y59" s="2301"/>
      <c r="Z59" s="2301"/>
      <c r="AA59" s="2301"/>
      <c r="AB59" s="2301"/>
      <c r="AC59" s="2301"/>
      <c r="AD59" s="2301"/>
      <c r="AE59" s="2301"/>
      <c r="AF59" s="2301"/>
      <c r="AG59" s="2301"/>
      <c r="AH59" s="2301"/>
      <c r="AI59" s="2301"/>
      <c r="AJ59" s="2301"/>
      <c r="AK59" s="2301"/>
      <c r="AQ59" s="1647">
        <v>20</v>
      </c>
    </row>
    <row customHeight="1" ht="14.699999999999998">
      <c r="O60" s="1651"/>
      <c r="T60" s="1969"/>
      <c r="U60" s="1969"/>
      <c r="V60" s="1969"/>
      <c r="W60" s="1969"/>
      <c r="X60" s="1969"/>
      <c r="Y60" s="1969"/>
      <c r="Z60" s="1969"/>
      <c r="AA60" s="1969"/>
      <c r="AB60" s="1969"/>
      <c r="AC60" s="1969"/>
      <c r="AD60" s="1969"/>
      <c r="AE60" s="1969"/>
      <c r="AF60" s="1969"/>
      <c r="AG60" s="1969"/>
      <c r="AH60" s="1969"/>
      <c r="AI60" s="1969"/>
      <c r="AJ60" s="1969"/>
      <c r="AK60" s="1969"/>
      <c r="AQ60" s="1647">
        <v>14</v>
      </c>
    </row>
    <row customHeight="1" ht="19.95">
      <c r="O61" s="1651"/>
      <c r="T61" s="2301"/>
      <c r="U61" s="2301"/>
      <c r="V61" s="2301"/>
      <c r="W61" s="2301"/>
      <c r="X61" s="2301"/>
      <c r="Y61" s="2301"/>
      <c r="Z61" s="2301"/>
      <c r="AA61" s="2301"/>
      <c r="AB61" s="2301"/>
      <c r="AC61" s="2301"/>
      <c r="AD61" s="2301"/>
      <c r="AE61" s="2301"/>
      <c r="AF61" s="2301"/>
      <c r="AG61" s="2301"/>
      <c r="AH61" s="2301"/>
      <c r="AI61" s="2301"/>
      <c r="AJ61" s="2301"/>
      <c r="AK61" s="2301"/>
      <c r="AQ61" s="1647">
        <v>19</v>
      </c>
    </row>
    <row customHeight="1" ht="16.8">
      <c r="O62" s="1651"/>
      <c r="T62" s="2301"/>
      <c r="U62" s="2301"/>
      <c r="V62" s="2301"/>
      <c r="W62" s="2301"/>
      <c r="X62" s="2301"/>
      <c r="Y62" s="2301"/>
      <c r="Z62" s="2301"/>
      <c r="AA62" s="2301"/>
      <c r="AB62" s="2301"/>
      <c r="AC62" s="2301"/>
      <c r="AD62" s="2301"/>
      <c r="AE62" s="2301"/>
      <c r="AF62" s="2301"/>
      <c r="AG62" s="2301"/>
      <c r="AH62" s="2301"/>
      <c r="AI62" s="2301"/>
      <c r="AJ62" s="2301"/>
      <c r="AK62" s="2301"/>
      <c r="AQ62" s="1647">
        <v>16</v>
      </c>
    </row>
    <row customHeight="1" ht="14.699999999999998">
      <c r="O63" s="1651"/>
      <c r="AQ63" s="1647">
        <v>14</v>
      </c>
    </row>
    <row customHeight="1" ht="22.5" hidden="1">
      <c r="A64" s="1647" t="s">
        <v>85</v>
      </c>
      <c r="B64" s="1647">
        <v>0</v>
      </c>
      <c r="C64" s="1647">
        <v>0</v>
      </c>
      <c r="D64" s="1647">
        <v>0</v>
      </c>
      <c r="E64" s="1647">
        <v>0</v>
      </c>
      <c r="F64" s="1647">
        <v>0</v>
      </c>
      <c r="G64" s="1647">
        <v>0</v>
      </c>
      <c r="H64" s="1647">
        <v>0</v>
      </c>
      <c r="I64" s="1647">
        <v>0</v>
      </c>
      <c r="J64" s="1647">
        <v>0</v>
      </c>
      <c r="K64" s="1647">
        <v>0</v>
      </c>
      <c r="L64" s="1955">
        <v>0</v>
      </c>
      <c r="M64" s="1981">
        <v>0</v>
      </c>
      <c r="N64" s="1981">
        <v>0</v>
      </c>
      <c r="O64" s="1981">
        <v>0</v>
      </c>
      <c r="P64" s="1378">
        <v>3</v>
      </c>
      <c r="Q64" s="1387">
        <v>3</v>
      </c>
      <c r="R64" s="360">
        <v>3</v>
      </c>
      <c r="S64" s="597">
        <v>12</v>
      </c>
      <c r="T64" s="1647">
        <v>31</v>
      </c>
      <c r="U64" s="1647">
        <v>0</v>
      </c>
      <c r="V64" s="1647">
        <v>0</v>
      </c>
      <c r="W64" s="1647">
        <v>0</v>
      </c>
      <c r="X64" s="1647">
        <v>0</v>
      </c>
      <c r="Y64" s="1647">
        <v>0</v>
      </c>
      <c r="Z64" s="1647">
        <v>0</v>
      </c>
      <c r="AA64" s="1647">
        <v>0</v>
      </c>
      <c r="AB64" s="1647">
        <v>27</v>
      </c>
      <c r="AC64" s="1647">
        <v>24</v>
      </c>
      <c r="AD64" s="1647">
        <v>21</v>
      </c>
      <c r="AE64" s="1647">
        <v>21</v>
      </c>
      <c r="AF64" s="1647">
        <v>11</v>
      </c>
      <c r="AG64" s="1647">
        <v>3</v>
      </c>
      <c r="AH64" s="1647">
        <v>11</v>
      </c>
      <c r="AI64" s="1647">
        <v>8</v>
      </c>
      <c r="AJ64" s="1647">
        <v>4</v>
      </c>
      <c r="AK64" s="1647">
        <v>115</v>
      </c>
      <c r="AL64" s="1652">
        <v>10</v>
      </c>
      <c r="AM64" s="1652">
        <v>10</v>
      </c>
      <c r="AN64" s="1652">
        <v>10</v>
      </c>
      <c r="AO64" s="1652">
        <v>10</v>
      </c>
      <c r="AP64" s="1652">
        <v>10</v>
      </c>
      <c r="AQ64" s="164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22B78-8BCC-1A79-FFE7-B6B6BF6979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2" width="11.57421875" hidden="1" customWidth="1"/>
    <col min="2" max="2" style="1382" width="11.00390625" hidden="1" customWidth="1"/>
    <col min="3" max="3" style="1382" width="10.57421875" hidden="1"/>
    <col min="4" max="4" style="1382" width="12.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1792" width="3.7109375" hidden="1" customWidth="1"/>
    <col min="17" max="17" style="1387" width="3.7109375" hidden="1" customWidth="1"/>
    <col min="18" max="18" style="360" width="3.00390625" customWidth="1"/>
    <col min="19" max="19" style="2423" width="12.00390625" customWidth="1"/>
    <col min="20" max="20" style="1651" width="31.00390625" customWidth="1"/>
    <col min="21" max="21" style="1651" width="0.140625" customWidth="1"/>
    <col min="22" max="25" style="1651" width="21.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3.7109375" customWidth="1"/>
    <col min="31" max="32" style="1651" width="3.00390625" customWidth="1"/>
    <col min="33" max="33" style="1651" width="24.00390625" customWidth="1"/>
    <col min="34" max="34" style="1651" width="3.7109375" customWidth="1"/>
    <col min="35" max="36" style="1651" width="3.00390625" customWidth="1"/>
    <col min="37" max="37" style="1651" width="24.00390625" customWidth="1"/>
    <col min="38" max="38" style="1651" width="3.7109375" customWidth="1"/>
    <col min="39" max="40" style="1651" width="3.00390625" customWidth="1"/>
    <col min="41" max="41" style="1651" width="18.00390625" customWidth="1"/>
    <col min="42" max="42" style="1651" width="3.7109375" customWidth="1"/>
    <col min="43" max="44" style="1651" width="3.00390625" customWidth="1"/>
    <col min="45" max="45" style="1651" width="18.00390625" customWidth="1"/>
    <col min="46" max="49" style="1651" width="21.00390625" customWidth="1"/>
    <col min="50" max="50" style="1651" width="11.00390625" customWidth="1"/>
    <col min="51" max="51" style="1651" width="3.7109375" customWidth="1"/>
    <col min="52" max="52" style="1651" width="11.00390625" customWidth="1"/>
    <col min="53" max="53" style="1651" width="8.57421875" hidden="1" customWidth="1"/>
    <col min="54" max="54" style="1651" width="4.00390625" customWidth="1"/>
    <col min="55" max="55" style="1651" width="115.00390625" customWidth="1"/>
    <col min="56" max="60" style="1658" width="10.00390625" customWidth="1"/>
    <col min="61" max="61" style="1651" width="10.57421875" hidden="1"/>
  </cols>
  <sheetData>
    <row customHeight="1" ht="22.5" hidden="1">
      <c r="W1" s="343"/>
      <c r="Y1" s="343"/>
      <c r="Z1" s="343"/>
      <c r="AW1" s="343"/>
      <c r="AX1" s="343"/>
      <c r="BI1" s="1171" t="s">
        <v>14</v>
      </c>
    </row>
    <row customHeight="1" ht="21" hidden="1">
      <c r="A2" s="1379"/>
      <c r="B2" s="1379"/>
      <c r="C2" s="1379"/>
      <c r="D2" s="1379"/>
      <c r="E2" s="2274">
        <v>1</v>
      </c>
      <c r="F2" s="1379"/>
      <c r="G2" s="1379"/>
      <c r="H2" s="1379"/>
      <c r="I2" s="1379"/>
      <c r="J2" s="1379"/>
      <c r="K2" s="1379"/>
      <c r="L2" s="1380"/>
      <c r="M2" s="1381"/>
      <c r="N2" s="1381"/>
      <c r="O2" s="1381"/>
      <c r="P2" s="1425"/>
      <c r="Q2" s="889"/>
      <c r="R2" s="371"/>
      <c r="S2" s="1481">
        <f>INDEX(PT_DIFFERENTIATION_NUM_NTAR,MATCH(A2,PT_DIFFERENTIATION_NTAR_ID,0))</f>
      </c>
      <c r="T2" s="314" t="s">
        <v>192</v>
      </c>
      <c r="U2" s="316"/>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6"/>
      <c r="BF2" s="516" t="str">
        <f>IF(T2="","",T2)</f>
        <v>Наименование тарифа</v>
      </c>
      <c r="BG2" s="516"/>
      <c r="BH2" s="516"/>
      <c r="BI2" s="1171">
        <v>0</v>
      </c>
    </row>
    <row customHeight="1" ht="21" hidden="1">
      <c r="A3" s="1379"/>
      <c r="B3" s="1379"/>
      <c r="C3" s="1379"/>
      <c r="D3" s="1379"/>
      <c r="E3" s="2275"/>
      <c r="F3" s="2274">
        <v>1</v>
      </c>
      <c r="G3" s="1379"/>
      <c r="H3" s="1379"/>
      <c r="I3" s="1379"/>
      <c r="J3" s="1379"/>
      <c r="K3" s="1379"/>
      <c r="L3" s="1380"/>
      <c r="M3" s="1381"/>
      <c r="N3" s="1381"/>
      <c r="O3" s="1381"/>
      <c r="P3" s="1426"/>
      <c r="Q3" s="1427"/>
      <c r="R3" s="369"/>
      <c r="S3" s="1481">
        <f>INDEX(PT_DIFFERENTIATION_NUM_TER,MATCH(B3,PT_DIFFERENTIATION_TER_ID,0))</f>
      </c>
      <c r="T3" s="324" t="s">
        <v>550</v>
      </c>
      <c r="U3" s="316"/>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74" t="s">
        <v>551</v>
      </c>
      <c r="BE3" s="516"/>
      <c r="BF3" s="516" t="str">
        <f>IF(T3="","",T3)</f>
        <v>Территория действия тарифа</v>
      </c>
      <c r="BG3" s="516"/>
      <c r="BH3" s="516"/>
      <c r="BI3" s="1171">
        <v>0</v>
      </c>
    </row>
    <row customHeight="1" ht="42" hidden="1">
      <c r="A4" s="1379"/>
      <c r="B4" s="1379"/>
      <c r="C4" s="1379"/>
      <c r="D4" s="1379"/>
      <c r="E4" s="2275"/>
      <c r="F4" s="2275"/>
      <c r="G4" s="2274">
        <v>1</v>
      </c>
      <c r="H4" s="1379"/>
      <c r="I4" s="1379"/>
      <c r="J4" s="1379"/>
      <c r="K4" s="1379"/>
      <c r="L4" s="1380"/>
      <c r="M4" s="1381"/>
      <c r="N4" s="1381"/>
      <c r="O4" s="1381"/>
      <c r="P4" s="1428"/>
      <c r="Q4" s="1427"/>
      <c r="R4" s="369"/>
      <c r="S4" s="1481">
        <f>INDEX(PT_DIFFERENTIATION_NUM_CS,MATCH(C4,PT_DIFFERENTIATION_CS_ID,0))</f>
      </c>
      <c r="T4" s="325" t="s">
        <v>634</v>
      </c>
      <c r="U4" s="316"/>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74" t="s">
        <v>635</v>
      </c>
      <c r="BE4" s="516"/>
      <c r="BF4" s="516" t="str">
        <f>IF(T4="","",T4)</f>
        <v>Наименование централизованной системы холодного водоснабжения</v>
      </c>
      <c r="BG4" s="516"/>
      <c r="BH4" s="516"/>
      <c r="BI4" s="1171">
        <v>0</v>
      </c>
    </row>
    <row s="1658" customFormat="1" customHeight="1" ht="14.25" hidden="1">
      <c r="A5" s="1359"/>
      <c r="B5" s="1359"/>
      <c r="C5" s="1359"/>
      <c r="D5" s="1359"/>
      <c r="E5" s="2275"/>
      <c r="F5" s="2275"/>
      <c r="G5" s="2275"/>
      <c r="H5" s="2274">
        <v>1</v>
      </c>
      <c r="I5" s="1359"/>
      <c r="J5" s="1359"/>
      <c r="K5" s="1359"/>
      <c r="L5" s="1362"/>
      <c r="M5" s="1331"/>
      <c r="N5" s="1331"/>
      <c r="O5" s="1331"/>
      <c r="P5" s="1513"/>
      <c r="Q5" s="1514"/>
      <c r="R5" s="373"/>
      <c r="S5" s="1058"/>
      <c r="T5" s="1515"/>
      <c r="U5" s="1400"/>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401" t="s">
        <v>555</v>
      </c>
      <c r="BE5" s="516"/>
      <c r="BF5" s="516" t="str">
        <f>IF(T5="","",T5)</f>
        <v/>
      </c>
      <c r="BG5" s="516"/>
      <c r="BH5" s="516"/>
      <c r="BI5" s="527">
        <v>0</v>
      </c>
    </row>
    <row s="1658" customFormat="1" customHeight="1" ht="14.25" hidden="1">
      <c r="A6" s="1359"/>
      <c r="B6" s="1359"/>
      <c r="C6" s="1359"/>
      <c r="D6" s="1359"/>
      <c r="E6" s="2275"/>
      <c r="F6" s="2275"/>
      <c r="G6" s="2275"/>
      <c r="H6" s="2275"/>
      <c r="I6" s="2272" t="str">
        <f>S5&amp;".1"</f>
        <v>.1</v>
      </c>
      <c r="J6" s="1359"/>
      <c r="K6" s="1359"/>
      <c r="L6" s="1362" t="s">
        <v>556</v>
      </c>
      <c r="M6" s="526"/>
      <c r="N6" s="526"/>
      <c r="O6" s="526"/>
      <c r="P6" s="2273">
        <v>1</v>
      </c>
      <c r="Q6" s="1478"/>
      <c r="R6" s="372"/>
      <c r="S6" s="1058"/>
      <c r="T6" s="1399"/>
      <c r="U6" s="1400"/>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401"/>
      <c r="BE6" s="516"/>
      <c r="BF6" s="516" t="str">
        <f>IF(T6="","",T6)</f>
        <v/>
      </c>
      <c r="BG6" s="516"/>
      <c r="BH6" s="516"/>
      <c r="BI6" s="527">
        <v>0</v>
      </c>
    </row>
    <row s="1658" customFormat="1" customHeight="1" ht="14.25" hidden="1">
      <c r="A7" s="1359"/>
      <c r="B7" s="1359"/>
      <c r="C7" s="1359"/>
      <c r="D7" s="1359"/>
      <c r="E7" s="2275"/>
      <c r="F7" s="2275"/>
      <c r="G7" s="2275"/>
      <c r="H7" s="2275"/>
      <c r="I7" s="2302"/>
      <c r="J7" s="2272" t="str">
        <f>S5&amp;".1"</f>
        <v>.1</v>
      </c>
      <c r="K7" s="1359"/>
      <c r="L7" s="1362"/>
      <c r="M7" s="526"/>
      <c r="N7" s="526"/>
      <c r="O7" s="526"/>
      <c r="P7" s="2273"/>
      <c r="Q7" s="2273">
        <v>1</v>
      </c>
      <c r="R7" s="373"/>
      <c r="S7" s="1058"/>
      <c r="T7" s="1415"/>
      <c r="U7" s="1400"/>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401"/>
      <c r="BE7" s="516"/>
      <c r="BF7" s="516" t="str">
        <f>IF(T7="","",T7)</f>
        <v/>
      </c>
      <c r="BG7" s="516"/>
      <c r="BH7" s="516"/>
      <c r="BI7" s="527">
        <v>0</v>
      </c>
    </row>
    <row customHeight="1" ht="11.25" hidden="1">
      <c r="A8" s="1379"/>
      <c r="B8" s="1379"/>
      <c r="C8" s="1379"/>
      <c r="D8" s="1379"/>
      <c r="E8" s="2275"/>
      <c r="F8" s="2275"/>
      <c r="G8" s="2275"/>
      <c r="H8" s="2275"/>
      <c r="I8" s="2302"/>
      <c r="J8" s="2302"/>
      <c r="K8" s="2272">
        <f>S4&amp;".1"</f>
      </c>
      <c r="L8" s="1380"/>
      <c r="P8" s="2273"/>
      <c r="Q8" s="2273"/>
      <c r="R8" s="2363">
        <v>1</v>
      </c>
      <c r="S8" s="2357">
        <f>$K8</f>
      </c>
      <c r="T8" s="2376"/>
      <c r="U8" s="316"/>
      <c r="V8" s="767"/>
      <c r="W8" s="1273"/>
      <c r="X8" s="767"/>
      <c r="Y8" s="1273"/>
      <c r="Z8" s="1750"/>
      <c r="AA8" s="1475" t="s">
        <v>64</v>
      </c>
      <c r="AB8" s="1750"/>
      <c r="AC8" s="1475" t="s">
        <v>64</v>
      </c>
      <c r="AD8" s="2201" t="s">
        <v>64</v>
      </c>
      <c r="AE8" s="2342"/>
      <c r="AF8" s="2221">
        <v>1</v>
      </c>
      <c r="AG8" s="2379"/>
      <c r="AH8" s="2123" t="s">
        <v>64</v>
      </c>
      <c r="AI8" s="2342"/>
      <c r="AJ8" s="2221">
        <v>1</v>
      </c>
      <c r="AK8" s="2343" t="s">
        <v>28</v>
      </c>
      <c r="AL8" s="2123" t="s">
        <v>64</v>
      </c>
      <c r="AM8" s="2208"/>
      <c r="AN8" s="2221">
        <v>1</v>
      </c>
      <c r="AO8" s="2373"/>
      <c r="AP8" s="2374" t="s">
        <v>64</v>
      </c>
      <c r="AQ8" s="327"/>
      <c r="AR8" s="1479">
        <v>1</v>
      </c>
      <c r="AS8" s="1482" t="s">
        <v>28</v>
      </c>
      <c r="AT8" s="767"/>
      <c r="AU8" s="1273"/>
      <c r="AV8" s="767"/>
      <c r="AW8" s="1273"/>
      <c r="AX8" s="1750"/>
      <c r="AY8" s="1475" t="s">
        <v>64</v>
      </c>
      <c r="AZ8" s="1750"/>
      <c r="BA8" s="1475" t="s">
        <v>64</v>
      </c>
      <c r="BB8" s="1364"/>
      <c r="BC8" s="2269" t="s">
        <v>654</v>
      </c>
      <c r="BE8" s="516"/>
      <c r="BF8" s="516" t="str">
        <f>IF(T8="","",T8)</f>
        <v/>
      </c>
      <c r="BG8" s="516"/>
      <c r="BH8" s="516"/>
      <c r="BI8" s="1171">
        <v>0</v>
      </c>
    </row>
    <row customHeight="1" ht="11.25" hidden="1">
      <c r="A9" s="1379"/>
      <c r="B9" s="1379"/>
      <c r="C9" s="1379"/>
      <c r="D9" s="1379"/>
      <c r="E9" s="2275"/>
      <c r="F9" s="2275"/>
      <c r="G9" s="2275"/>
      <c r="H9" s="2275"/>
      <c r="I9" s="2302"/>
      <c r="J9" s="2302"/>
      <c r="K9" s="2272"/>
      <c r="L9" s="1380"/>
      <c r="P9" s="2273"/>
      <c r="Q9" s="2273"/>
      <c r="R9" s="2363"/>
      <c r="S9" s="2358"/>
      <c r="T9" s="2377"/>
      <c r="U9" s="316"/>
      <c r="V9" s="1409"/>
      <c r="W9" s="1512"/>
      <c r="X9" s="1409"/>
      <c r="Y9" s="1512"/>
      <c r="Z9" s="1409"/>
      <c r="AA9" s="1409"/>
      <c r="AB9" s="1409"/>
      <c r="AC9" s="1409"/>
      <c r="AD9" s="2202"/>
      <c r="AE9" s="2342"/>
      <c r="AF9" s="2221"/>
      <c r="AG9" s="2379"/>
      <c r="AH9" s="2123"/>
      <c r="AI9" s="2342"/>
      <c r="AJ9" s="2221"/>
      <c r="AK9" s="2343"/>
      <c r="AL9" s="2123"/>
      <c r="AM9" s="2216"/>
      <c r="AN9" s="2221"/>
      <c r="AO9" s="2373"/>
      <c r="AP9" s="2375"/>
      <c r="AQ9" s="332"/>
      <c r="AR9" s="432"/>
      <c r="AS9" s="432" t="s">
        <v>655</v>
      </c>
      <c r="AT9" s="1409"/>
      <c r="AU9" s="1512"/>
      <c r="AV9" s="1409"/>
      <c r="AW9" s="1512"/>
      <c r="AX9" s="1409"/>
      <c r="AY9" s="1409"/>
      <c r="AZ9" s="1409"/>
      <c r="BA9" s="1409"/>
      <c r="BB9" s="1413"/>
      <c r="BC9" s="2270"/>
      <c r="BE9" s="516"/>
      <c r="BF9" s="516"/>
      <c r="BG9" s="516"/>
      <c r="BH9" s="516"/>
      <c r="BI9" s="1171">
        <v>0</v>
      </c>
    </row>
    <row customHeight="1" ht="11.25" hidden="1">
      <c r="A10" s="1379"/>
      <c r="B10" s="1379"/>
      <c r="C10" s="1379"/>
      <c r="D10" s="1379"/>
      <c r="E10" s="2275"/>
      <c r="F10" s="2275"/>
      <c r="G10" s="2275"/>
      <c r="H10" s="2275"/>
      <c r="I10" s="2302"/>
      <c r="J10" s="2302"/>
      <c r="K10" s="2272"/>
      <c r="L10" s="1380"/>
      <c r="P10" s="2273"/>
      <c r="Q10" s="2273"/>
      <c r="R10" s="2363"/>
      <c r="S10" s="2358"/>
      <c r="T10" s="2377"/>
      <c r="U10" s="316"/>
      <c r="V10" s="1409"/>
      <c r="W10" s="1512"/>
      <c r="X10" s="1409"/>
      <c r="Y10" s="1512"/>
      <c r="Z10" s="1409"/>
      <c r="AA10" s="1409"/>
      <c r="AB10" s="1409"/>
      <c r="AC10" s="1409"/>
      <c r="AD10" s="2202"/>
      <c r="AE10" s="2342"/>
      <c r="AF10" s="2221"/>
      <c r="AG10" s="2379"/>
      <c r="AH10" s="2123"/>
      <c r="AI10" s="2342"/>
      <c r="AJ10" s="2221"/>
      <c r="AK10" s="2343"/>
      <c r="AL10" s="2123"/>
      <c r="AM10" s="332"/>
      <c r="AN10" s="1516"/>
      <c r="AO10" s="1516" t="s">
        <v>656</v>
      </c>
      <c r="AP10" s="432"/>
      <c r="AQ10" s="432"/>
      <c r="AR10" s="432"/>
      <c r="AS10" s="1409"/>
      <c r="AT10" s="1409"/>
      <c r="AU10" s="1512"/>
      <c r="AV10" s="1409"/>
      <c r="AW10" s="1512"/>
      <c r="AX10" s="1409"/>
      <c r="AY10" s="1409"/>
      <c r="AZ10" s="1409"/>
      <c r="BA10" s="1409"/>
      <c r="BB10" s="1413"/>
      <c r="BC10" s="2270"/>
      <c r="BE10" s="516"/>
      <c r="BF10" s="516"/>
      <c r="BG10" s="516"/>
      <c r="BH10" s="516"/>
      <c r="BI10" s="1171">
        <v>0</v>
      </c>
    </row>
    <row customHeight="1" ht="11.25" hidden="1">
      <c r="A11" s="1379"/>
      <c r="B11" s="1379"/>
      <c r="C11" s="1379"/>
      <c r="D11" s="1379"/>
      <c r="E11" s="2275"/>
      <c r="F11" s="2275"/>
      <c r="G11" s="2275"/>
      <c r="H11" s="2275"/>
      <c r="I11" s="2302"/>
      <c r="J11" s="2302"/>
      <c r="K11" s="2272"/>
      <c r="L11" s="1380"/>
      <c r="P11" s="2273"/>
      <c r="Q11" s="2273"/>
      <c r="R11" s="2363"/>
      <c r="S11" s="2358"/>
      <c r="T11" s="2377"/>
      <c r="U11" s="316"/>
      <c r="V11" s="1409"/>
      <c r="W11" s="1512"/>
      <c r="X11" s="1409"/>
      <c r="Y11" s="1512"/>
      <c r="Z11" s="1409"/>
      <c r="AA11" s="1409"/>
      <c r="AB11" s="1409"/>
      <c r="AC11" s="1409"/>
      <c r="AD11" s="2202"/>
      <c r="AE11" s="2342"/>
      <c r="AF11" s="2221"/>
      <c r="AG11" s="2379"/>
      <c r="AH11" s="2123"/>
      <c r="AI11" s="310"/>
      <c r="AJ11" s="431"/>
      <c r="AK11" s="329" t="s">
        <v>657</v>
      </c>
      <c r="AL11" s="1409"/>
      <c r="AM11" s="1409"/>
      <c r="AN11" s="1409"/>
      <c r="AO11" s="1409"/>
      <c r="AP11" s="1409"/>
      <c r="AQ11" s="1409"/>
      <c r="AR11" s="1409"/>
      <c r="AS11" s="1409"/>
      <c r="AT11" s="1409"/>
      <c r="AU11" s="1512"/>
      <c r="AV11" s="1409"/>
      <c r="AW11" s="1512"/>
      <c r="AX11" s="1409"/>
      <c r="AY11" s="1409"/>
      <c r="AZ11" s="1409"/>
      <c r="BA11" s="1409"/>
      <c r="BB11" s="1413"/>
      <c r="BC11" s="2270"/>
      <c r="BE11" s="516"/>
      <c r="BF11" s="516"/>
      <c r="BG11" s="516"/>
      <c r="BH11" s="516"/>
      <c r="BI11" s="1171">
        <v>0</v>
      </c>
    </row>
    <row customHeight="1" ht="11.25" hidden="1">
      <c r="A12" s="1379"/>
      <c r="B12" s="1379"/>
      <c r="C12" s="1379"/>
      <c r="D12" s="1379"/>
      <c r="E12" s="2275"/>
      <c r="F12" s="2275"/>
      <c r="G12" s="2275"/>
      <c r="H12" s="2275"/>
      <c r="I12" s="2302"/>
      <c r="J12" s="2302"/>
      <c r="K12" s="2272"/>
      <c r="L12" s="1380"/>
      <c r="P12" s="2273"/>
      <c r="Q12" s="2273"/>
      <c r="R12" s="2363"/>
      <c r="S12" s="2359"/>
      <c r="T12" s="2378"/>
      <c r="U12" s="316"/>
      <c r="V12" s="1409"/>
      <c r="W12" s="1410" t="str">
        <f>Z8&amp;"-"&amp;AB8</f>
        <v>-</v>
      </c>
      <c r="X12" s="1409"/>
      <c r="Y12" s="1410" t="str">
        <f>AB8&amp;"-"&amp;AD8</f>
        <v>-да</v>
      </c>
      <c r="Z12" s="1409"/>
      <c r="AA12" s="1409"/>
      <c r="AB12" s="1409"/>
      <c r="AC12" s="1409"/>
      <c r="AD12" s="2128"/>
      <c r="AE12" s="328"/>
      <c r="AF12" s="330"/>
      <c r="AG12" s="432" t="s">
        <v>658</v>
      </c>
      <c r="AH12" s="1409"/>
      <c r="AI12" s="1409"/>
      <c r="AJ12" s="1409"/>
      <c r="AK12" s="1409"/>
      <c r="AL12" s="1409"/>
      <c r="AM12" s="1409"/>
      <c r="AN12" s="1409"/>
      <c r="AO12" s="1409"/>
      <c r="AP12" s="1409"/>
      <c r="AQ12" s="1409"/>
      <c r="AR12" s="1409"/>
      <c r="AS12" s="1409"/>
      <c r="AT12" s="1409"/>
      <c r="AU12" s="1410" t="str">
        <f>AX8&amp;"-"&amp;AZ8</f>
        <v>-</v>
      </c>
      <c r="AV12" s="1409"/>
      <c r="AW12" s="1410" t="str">
        <f>AZ8&amp;"-"&amp;BB8</f>
        <v>-</v>
      </c>
      <c r="AX12" s="1409"/>
      <c r="AY12" s="1409"/>
      <c r="AZ12" s="1409"/>
      <c r="BA12" s="1409"/>
      <c r="BB12" s="1412" t="str">
        <f>BE8&amp;"-"&amp;BG8</f>
        <v>-</v>
      </c>
      <c r="BC12" s="2270"/>
      <c r="BE12" s="516"/>
      <c r="BF12" s="516" t="str">
        <f>IF(T12="","",T12)</f>
        <v/>
      </c>
      <c r="BG12" s="516"/>
      <c r="BH12" s="516"/>
      <c r="BI12" s="1171">
        <v>0</v>
      </c>
    </row>
    <row customHeight="1" ht="11.25" hidden="1">
      <c r="A13" s="1379"/>
      <c r="B13" s="1379"/>
      <c r="C13" s="1379"/>
      <c r="D13" s="1379"/>
      <c r="E13" s="2275"/>
      <c r="F13" s="2275"/>
      <c r="G13" s="2275"/>
      <c r="H13" s="2275"/>
      <c r="I13" s="2302"/>
      <c r="J13" s="2272"/>
      <c r="K13" s="1379"/>
      <c r="L13" s="1380"/>
      <c r="P13" s="2273"/>
      <c r="Q13" s="2273"/>
      <c r="R13" s="372"/>
      <c r="S13" s="1294"/>
      <c r="T13" s="303" t="s">
        <v>617</v>
      </c>
      <c r="U13" s="383"/>
      <c r="V13" s="383"/>
      <c r="W13" s="383"/>
      <c r="X13" s="383"/>
      <c r="Y13" s="383"/>
      <c r="Z13" s="383"/>
      <c r="AA13" s="383"/>
      <c r="AB13" s="383"/>
      <c r="AC13" s="383"/>
      <c r="AD13" s="1521"/>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40"/>
      <c r="BC13" s="2271"/>
      <c r="BE13" s="516"/>
      <c r="BF13" s="516" t="str">
        <f>IF(T13="","",T13)</f>
        <v>Добавить строку</v>
      </c>
      <c r="BG13" s="516"/>
      <c r="BH13" s="516"/>
      <c r="BI13" s="1171">
        <v>0</v>
      </c>
    </row>
    <row s="1658" customFormat="1" customHeight="1" ht="14.25" hidden="1">
      <c r="A14" s="1359"/>
      <c r="B14" s="1359"/>
      <c r="C14" s="1359"/>
      <c r="D14" s="1359"/>
      <c r="E14" s="2275"/>
      <c r="F14" s="2275"/>
      <c r="G14" s="2275"/>
      <c r="H14" s="2275"/>
      <c r="I14" s="2272"/>
      <c r="J14" s="1359"/>
      <c r="K14" s="1359"/>
      <c r="L14" s="1362"/>
      <c r="M14" s="526"/>
      <c r="N14" s="526"/>
      <c r="O14" s="526"/>
      <c r="P14" s="2273"/>
      <c r="Q14" s="1478"/>
      <c r="R14" s="372"/>
      <c r="S14" s="1402"/>
      <c r="T14" s="1403"/>
      <c r="U14" s="1404"/>
      <c r="V14" s="1404"/>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4"/>
      <c r="AR14" s="1404"/>
      <c r="AS14" s="1404"/>
      <c r="AT14" s="1404"/>
      <c r="AU14" s="1404"/>
      <c r="AV14" s="1404"/>
      <c r="AW14" s="1404"/>
      <c r="AX14" s="1404"/>
      <c r="AY14" s="1404"/>
      <c r="AZ14" s="1404"/>
      <c r="BA14" s="1404"/>
      <c r="BB14" s="1404"/>
      <c r="BC14" s="1405"/>
      <c r="BE14" s="516"/>
      <c r="BF14" s="516" t="str">
        <f>IF(T14="","",T14)</f>
        <v/>
      </c>
      <c r="BG14" s="516"/>
      <c r="BH14" s="516"/>
      <c r="BI14" s="527">
        <v>0</v>
      </c>
    </row>
    <row s="1658" customFormat="1" customHeight="1" ht="14.25" hidden="1">
      <c r="A15" s="1359"/>
      <c r="B15" s="1359"/>
      <c r="C15" s="1359"/>
      <c r="D15" s="1359"/>
      <c r="E15" s="2275"/>
      <c r="F15" s="2275"/>
      <c r="G15" s="2275"/>
      <c r="H15" s="2274"/>
      <c r="I15" s="1359"/>
      <c r="J15" s="1359"/>
      <c r="K15" s="1359"/>
      <c r="L15" s="1362"/>
      <c r="M15" s="1331"/>
      <c r="N15" s="1331"/>
      <c r="O15" s="534"/>
      <c r="P15" s="396"/>
      <c r="Q15" s="1360"/>
      <c r="R15" s="1417"/>
      <c r="S15" s="1402"/>
      <c r="T15" s="1403"/>
      <c r="U15" s="1404"/>
      <c r="V15" s="1404"/>
      <c r="W15" s="1404"/>
      <c r="X15" s="1404"/>
      <c r="Y15" s="1404"/>
      <c r="Z15" s="1404"/>
      <c r="AA15" s="1404"/>
      <c r="AB15" s="1404"/>
      <c r="AC15" s="1404"/>
      <c r="AD15" s="1404"/>
      <c r="AE15" s="1404"/>
      <c r="AF15" s="1404"/>
      <c r="AG15" s="1404"/>
      <c r="AH15" s="1404"/>
      <c r="AI15" s="1404"/>
      <c r="AJ15" s="1404"/>
      <c r="AK15" s="1404"/>
      <c r="AL15" s="1404"/>
      <c r="AM15" s="1404"/>
      <c r="AN15" s="1404"/>
      <c r="AO15" s="1404"/>
      <c r="AP15" s="1404"/>
      <c r="AQ15" s="1404"/>
      <c r="AR15" s="1404"/>
      <c r="AS15" s="1404"/>
      <c r="AT15" s="1404"/>
      <c r="AU15" s="1404"/>
      <c r="AV15" s="1404"/>
      <c r="AW15" s="1404"/>
      <c r="AX15" s="1404"/>
      <c r="AY15" s="1404"/>
      <c r="AZ15" s="1404"/>
      <c r="BA15" s="1404"/>
      <c r="BB15" s="1404"/>
      <c r="BC15" s="1405"/>
      <c r="BE15" s="516"/>
      <c r="BF15" s="516" t="str">
        <f>IF(T15="","",T15)</f>
        <v/>
      </c>
      <c r="BG15" s="516"/>
      <c r="BH15" s="516"/>
      <c r="BI15" s="527">
        <v>0</v>
      </c>
    </row>
    <row s="1658" customFormat="1" customHeight="1" ht="14.25" hidden="1">
      <c r="A16" s="1359"/>
      <c r="B16" s="1359"/>
      <c r="C16" s="1359"/>
      <c r="D16" s="1330"/>
      <c r="E16" s="2275"/>
      <c r="F16" s="2275"/>
      <c r="G16" s="2274"/>
      <c r="H16" s="1330"/>
      <c r="I16" s="1330"/>
      <c r="J16" s="1330"/>
      <c r="K16" s="1330"/>
      <c r="L16" s="1480"/>
      <c r="M16" s="1331"/>
      <c r="N16" s="1331"/>
      <c r="P16" s="1332"/>
      <c r="Q16" s="1333"/>
      <c r="R16" s="1332"/>
      <c r="S16" s="1338"/>
      <c r="T16" s="1341"/>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c r="BA16" s="1340"/>
      <c r="BB16" s="1340"/>
      <c r="BC16" s="1340"/>
      <c r="BE16" s="805"/>
      <c r="BF16" s="805" t="str">
        <f>IF(T16="","",T16)</f>
        <v/>
      </c>
      <c r="BG16" s="805"/>
      <c r="BH16" s="805"/>
      <c r="BI16" s="534">
        <v>0</v>
      </c>
    </row>
    <row s="1658" customFormat="1" customHeight="1" ht="14.25" hidden="1">
      <c r="A17" s="1359"/>
      <c r="B17" s="1359"/>
      <c r="C17" s="1330"/>
      <c r="D17" s="1330"/>
      <c r="E17" s="2275"/>
      <c r="F17" s="2274"/>
      <c r="G17" s="1330"/>
      <c r="H17" s="1330"/>
      <c r="I17" s="1330"/>
      <c r="J17" s="1330"/>
      <c r="K17" s="1330"/>
      <c r="L17" s="1480"/>
      <c r="M17" s="1337"/>
      <c r="N17" s="1337"/>
      <c r="P17" s="1332"/>
      <c r="Q17" s="1333"/>
      <c r="R17" s="1332"/>
      <c r="S17" s="1338"/>
      <c r="T17" s="1341" t="s">
        <v>269</v>
      </c>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E17" s="805"/>
      <c r="BF17" s="805" t="str">
        <f>IF(T17="","",T17)</f>
        <v>Добавить централизованную систему для дифференциации</v>
      </c>
      <c r="BG17" s="805"/>
      <c r="BH17" s="805"/>
      <c r="BI17" s="534">
        <v>0</v>
      </c>
    </row>
    <row s="1658" customFormat="1" customHeight="1" ht="14.25" hidden="1">
      <c r="A18" s="1359"/>
      <c r="B18" s="1359"/>
      <c r="C18" s="1359"/>
      <c r="D18" s="1359"/>
      <c r="E18" s="2274"/>
      <c r="F18" s="1359"/>
      <c r="G18" s="1359"/>
      <c r="H18" s="1359"/>
      <c r="I18" s="1359"/>
      <c r="J18" s="1359"/>
      <c r="K18" s="1359"/>
      <c r="L18" s="1362"/>
      <c r="M18" s="1337"/>
      <c r="N18" s="1337"/>
      <c r="O18" s="534"/>
      <c r="P18" s="396"/>
      <c r="Q18" s="1360"/>
      <c r="R18" s="396"/>
      <c r="S18" s="1338"/>
      <c r="T18" s="1341" t="s">
        <v>330</v>
      </c>
      <c r="U18" s="1340"/>
      <c r="V18" s="1340"/>
      <c r="W18" s="1340"/>
      <c r="X18" s="1340"/>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0"/>
      <c r="BC18" s="1340"/>
      <c r="BE18" s="516"/>
      <c r="BF18" s="516" t="str">
        <f>IF(T18="","",T18)</f>
        <v>Добавить территорию для дифференциации</v>
      </c>
      <c r="BG18" s="516"/>
      <c r="BH18" s="516"/>
      <c r="BI18" s="527">
        <v>0</v>
      </c>
    </row>
    <row customHeight="1" ht="14.25" hidden="1">
      <c r="AC19" s="343"/>
      <c r="BA19" s="343"/>
      <c r="BI19" s="1171">
        <v>0</v>
      </c>
    </row>
    <row customHeight="1" ht="14.25" hidden="1">
      <c r="AD20" s="1340" t="s">
        <v>19</v>
      </c>
      <c r="AE20" s="1517"/>
      <c r="AF20" s="564">
        <v>1</v>
      </c>
      <c r="AG20" s="1518"/>
      <c r="AH20" s="1340" t="s">
        <v>19</v>
      </c>
      <c r="AI20" s="1517"/>
      <c r="AJ20" s="564">
        <v>1</v>
      </c>
      <c r="AK20" s="1518"/>
      <c r="AL20" s="1340" t="s">
        <v>19</v>
      </c>
      <c r="AM20" s="1519"/>
      <c r="AN20" s="564">
        <v>1</v>
      </c>
      <c r="AO20" s="1520"/>
      <c r="AP20" s="1340" t="s">
        <v>19</v>
      </c>
      <c r="AQ20" s="1519"/>
      <c r="AR20" s="564">
        <v>1</v>
      </c>
      <c r="AS20" s="1520"/>
      <c r="AT20" s="341"/>
      <c r="AU20" s="400"/>
      <c r="AV20" s="341"/>
      <c r="AW20" s="400"/>
      <c r="AX20" s="1752"/>
      <c r="AY20" s="1476" t="s">
        <v>64</v>
      </c>
      <c r="AZ20" s="1752"/>
      <c r="BA20" s="1476" t="s">
        <v>64</v>
      </c>
      <c r="BI20" s="1171">
        <v>0</v>
      </c>
    </row>
    <row customHeight="1" ht="14.25" hidden="1">
      <c r="BD21" s="512"/>
      <c r="BE21" s="512"/>
      <c r="BF21" s="512"/>
      <c r="BG21" s="512"/>
      <c r="BH21" s="512"/>
      <c r="BI21" s="1171">
        <v>0</v>
      </c>
    </row>
    <row customHeight="1" ht="14.25" hidden="1">
      <c r="O22" s="1383" t="s">
        <v>567</v>
      </c>
      <c r="Z22" s="1361"/>
      <c r="AB22" s="1361"/>
      <c r="AC22" s="343"/>
      <c r="AX22" s="1361"/>
      <c r="AZ22" s="1361"/>
      <c r="BA22" s="343"/>
      <c r="BD22" s="512"/>
      <c r="BE22" s="512"/>
      <c r="BF22" s="512"/>
      <c r="BG22" s="512"/>
      <c r="BH22" s="512"/>
      <c r="BI22" s="1171">
        <v>0</v>
      </c>
    </row>
    <row customHeight="1" ht="14.25" hidden="1">
      <c r="AC23" s="343"/>
      <c r="BA23" s="343"/>
      <c r="BD23" s="512"/>
      <c r="BE23" s="512"/>
      <c r="BF23" s="512"/>
      <c r="BG23" s="512"/>
      <c r="BH23" s="512"/>
      <c r="BI23" s="1171">
        <v>0</v>
      </c>
    </row>
    <row s="1525" customFormat="1" customHeight="1" ht="14.25" hidden="1">
      <c r="M24" s="1524"/>
      <c r="N24" s="1524"/>
      <c r="O24" s="1525" t="s">
        <v>568</v>
      </c>
      <c r="P24" s="1524"/>
      <c r="Q24" s="1526"/>
      <c r="R24" s="1526"/>
      <c r="AA24" s="1523" t="s">
        <v>570</v>
      </c>
      <c r="AC24" s="1523" t="s">
        <v>571</v>
      </c>
      <c r="AD24" s="1523" t="s">
        <v>618</v>
      </c>
      <c r="AH24" s="1523" t="s">
        <v>618</v>
      </c>
      <c r="AK24" s="1523" t="s">
        <v>659</v>
      </c>
      <c r="AL24" s="1523" t="s">
        <v>618</v>
      </c>
      <c r="AP24" s="1523" t="s">
        <v>618</v>
      </c>
      <c r="AY24" s="1523" t="s">
        <v>570</v>
      </c>
      <c r="BA24" s="1523" t="s">
        <v>571</v>
      </c>
      <c r="BD24" s="1527"/>
      <c r="BE24" s="1527"/>
      <c r="BF24" s="1527"/>
      <c r="BG24" s="1527"/>
      <c r="BH24" s="1527"/>
      <c r="BI24" s="1523">
        <v>0</v>
      </c>
    </row>
    <row customHeight="1" ht="14.25" hidden="1">
      <c r="O25" s="1380"/>
      <c r="BD25" s="512"/>
      <c r="BE25" s="512"/>
      <c r="BF25" s="512"/>
      <c r="BG25" s="512"/>
      <c r="BH25" s="512"/>
      <c r="BI25" s="1171">
        <v>0</v>
      </c>
    </row>
    <row customHeight="1" ht="14.25" hidden="1">
      <c r="O26" s="1380"/>
      <c r="BD26" s="512"/>
      <c r="BE26" s="512"/>
      <c r="BF26" s="512"/>
      <c r="BG26" s="512"/>
      <c r="BH26" s="512"/>
      <c r="BI26" s="1171">
        <v>0</v>
      </c>
    </row>
    <row customHeight="1" ht="14.699999999999998">
      <c r="Q27" s="307"/>
      <c r="R27" s="392"/>
      <c r="S27" s="1291"/>
      <c r="T27" s="379"/>
      <c r="U27" s="379"/>
      <c r="V27" s="525"/>
      <c r="W27" s="525"/>
      <c r="X27" s="525"/>
      <c r="Y27" s="525"/>
      <c r="Z27" s="525"/>
      <c r="AA27" s="525"/>
      <c r="AB27" s="525"/>
      <c r="AC27" s="525"/>
      <c r="AD27" s="525"/>
      <c r="AE27" s="525"/>
      <c r="AF27" s="525"/>
      <c r="AG27" s="525"/>
      <c r="AH27" s="525"/>
      <c r="AI27" s="525"/>
      <c r="AJ27" s="525"/>
      <c r="AK27" s="525"/>
      <c r="AL27" s="525"/>
      <c r="AM27" s="525"/>
      <c r="AN27" s="525"/>
      <c r="AO27" s="525"/>
      <c r="AP27" s="525"/>
      <c r="AQ27" s="525"/>
      <c r="AR27" s="525"/>
      <c r="AS27" s="525"/>
      <c r="AT27" s="525"/>
      <c r="AU27" s="525"/>
      <c r="AV27" s="525"/>
      <c r="AW27" s="525"/>
      <c r="AX27" s="525"/>
      <c r="AY27" s="525"/>
      <c r="AZ27" s="525"/>
      <c r="BA27" s="525"/>
      <c r="BI27" s="1171">
        <v>14</v>
      </c>
    </row>
    <row customHeight="1" ht="14.699999999999998">
      <c r="Q28" s="307"/>
      <c r="R28" s="392"/>
      <c r="S28" s="226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59"/>
      <c r="BI28" s="1171">
        <v>14</v>
      </c>
    </row>
    <row customHeight="1" ht="14.699999999999998">
      <c r="Q29" s="307"/>
      <c r="R29" s="392"/>
      <c r="S29" s="2265" t="str">
        <f>IF(org=0,"Не определено",org)</f>
        <v>КГУП "Примтеплоэнерго"</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59"/>
      <c r="BI29" s="1171">
        <v>14</v>
      </c>
    </row>
    <row customHeight="1" ht="14.25">
      <c r="Q30" s="307"/>
      <c r="R30" s="392"/>
      <c r="S30" s="1291"/>
      <c r="T30" s="379"/>
      <c r="U30" s="379"/>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525"/>
      <c r="BI30" s="1171">
        <v>0</v>
      </c>
    </row>
    <row s="1869" customFormat="1" customHeight="1" ht="25.5">
      <c r="A31" s="1384"/>
      <c r="B31" s="1384"/>
      <c r="C31" s="1384"/>
      <c r="D31" s="1384"/>
      <c r="E31" s="1384"/>
      <c r="F31" s="1384"/>
      <c r="G31" s="1384"/>
      <c r="H31" s="1384"/>
      <c r="I31" s="1384"/>
      <c r="J31" s="1384"/>
      <c r="K31" s="1384"/>
      <c r="L31" s="1385"/>
      <c r="M31" s="1384"/>
      <c r="N31" s="1384"/>
      <c r="O31" s="1384"/>
      <c r="P31" s="1384"/>
      <c r="Q31" s="1384"/>
      <c r="S31" s="2266" t="s">
        <v>42</v>
      </c>
      <c r="T31" s="2266"/>
      <c r="U31" s="1388"/>
      <c r="V31" s="2267" t="str">
        <f>IF(TITLE_NAME_OR_PR_CHANGE="",IF(TITLE_NAME_OR_PR="","",TITLE_NAME_OR_PR),TITLE_NAME_OR_PR_CHANGE)</f>
        <v>Агентство по тарифам Приморского края</v>
      </c>
      <c r="W31" s="2267"/>
      <c r="X31" s="2267"/>
      <c r="Y31" s="2267"/>
      <c r="Z31" s="2267"/>
      <c r="AA31" s="2267"/>
      <c r="AB31" s="2267"/>
      <c r="AC31" s="342"/>
      <c r="AD31" s="2267" t="str">
        <f>IF(TITLE_NAME_OR_PR_CHANGE="",IF(TITLE_NAME_OR_PR="","",TITLE_NAME_OR_PR),TITLE_NAME_OR_PR_CHANGE)</f>
        <v>Агентство по тарифам Приморского края</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42"/>
      <c r="BB31" s="342"/>
      <c r="BC31" s="296"/>
      <c r="BD31" s="384"/>
      <c r="BE31" s="384"/>
      <c r="BF31" s="384"/>
      <c r="BG31" s="384"/>
      <c r="BH31" s="384"/>
      <c r="BI31" s="434">
        <v>0</v>
      </c>
    </row>
    <row s="1869" customFormat="1" customHeight="1" ht="18.75">
      <c r="A32" s="1384"/>
      <c r="B32" s="1384"/>
      <c r="C32" s="1384"/>
      <c r="D32" s="1384"/>
      <c r="E32" s="1384"/>
      <c r="F32" s="1384"/>
      <c r="G32" s="1384"/>
      <c r="H32" s="1384"/>
      <c r="I32" s="1384"/>
      <c r="J32" s="1384"/>
      <c r="K32" s="1384"/>
      <c r="L32" s="1385"/>
      <c r="M32" s="1384"/>
      <c r="N32" s="1384"/>
      <c r="O32" s="1384"/>
      <c r="P32" s="1384"/>
      <c r="Q32" s="1384"/>
      <c r="S32" s="2266" t="s">
        <v>573</v>
      </c>
      <c r="T32" s="2266"/>
      <c r="U32" s="1388"/>
      <c r="V32" s="2280" t="str">
        <f>IF(TITLE_DATE_PR_CHANGE="",IF(TITLE_DATE_PR="","",TITLE_DATE_PR),TITLE_DATE_PR_CHANGE)</f>
        <v>45910</v>
      </c>
      <c r="W32" s="2280"/>
      <c r="X32" s="2280"/>
      <c r="Y32" s="2280"/>
      <c r="Z32" s="2280"/>
      <c r="AA32" s="2280"/>
      <c r="AB32" s="2280"/>
      <c r="AC32" s="342"/>
      <c r="AD32" s="2280" t="str">
        <f>IF(TITLE_DATE_PR_CHANGE="",IF(TITLE_DATE_PR="","",TITLE_DATE_PR),TITLE_DATE_PR_CHANGE)</f>
        <v>45910</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42"/>
      <c r="BB32" s="342"/>
      <c r="BC32" s="296"/>
      <c r="BD32" s="384"/>
      <c r="BE32" s="384"/>
      <c r="BF32" s="384"/>
      <c r="BG32" s="384"/>
      <c r="BH32" s="384"/>
      <c r="BI32" s="434">
        <v>0</v>
      </c>
    </row>
    <row s="1869" customFormat="1" customHeight="1" ht="18.75">
      <c r="A33" s="1384"/>
      <c r="B33" s="1384"/>
      <c r="C33" s="1384"/>
      <c r="D33" s="1384"/>
      <c r="E33" s="1384"/>
      <c r="F33" s="1384"/>
      <c r="G33" s="1384"/>
      <c r="H33" s="1384"/>
      <c r="I33" s="1384"/>
      <c r="J33" s="1384"/>
      <c r="K33" s="1384"/>
      <c r="L33" s="1385"/>
      <c r="M33" s="1384"/>
      <c r="N33" s="1384"/>
      <c r="O33" s="1384"/>
      <c r="P33" s="1384"/>
      <c r="Q33" s="1384"/>
      <c r="S33" s="2266" t="s">
        <v>574</v>
      </c>
      <c r="T33" s="2266"/>
      <c r="U33" s="1388"/>
      <c r="V33" s="2267" t="str">
        <f>IF(TITLE_NUMBER_PR_CHANGE="",IF(TITLE_NUMBER_PR="","",TITLE_NUMBER_PR),TITLE_NUMBER_PR_CHANGE)</f>
        <v>37/2</v>
      </c>
      <c r="W33" s="2267"/>
      <c r="X33" s="2267"/>
      <c r="Y33" s="2267"/>
      <c r="Z33" s="2267"/>
      <c r="AA33" s="2267"/>
      <c r="AB33" s="2267"/>
      <c r="AC33" s="342"/>
      <c r="AD33" s="2267" t="str">
        <f>IF(TITLE_NUMBER_PR_CHANGE="",IF(TITLE_NUMBER_PR="","",TITLE_NUMBER_PR),TITLE_NUMBER_PR_CHANGE)</f>
        <v>37/2</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42"/>
      <c r="BB33" s="342"/>
      <c r="BC33" s="296"/>
      <c r="BD33" s="384"/>
      <c r="BE33" s="384"/>
      <c r="BF33" s="384"/>
      <c r="BG33" s="384"/>
      <c r="BH33" s="384"/>
      <c r="BI33" s="434">
        <v>0</v>
      </c>
    </row>
    <row s="1869" customFormat="1" customHeight="1" ht="18.75">
      <c r="A34" s="1384"/>
      <c r="B34" s="1384"/>
      <c r="C34" s="1384"/>
      <c r="D34" s="1384"/>
      <c r="E34" s="1384"/>
      <c r="F34" s="1384"/>
      <c r="G34" s="1384"/>
      <c r="H34" s="1384"/>
      <c r="I34" s="1384"/>
      <c r="J34" s="1384"/>
      <c r="K34" s="1384"/>
      <c r="L34" s="1385"/>
      <c r="M34" s="1384"/>
      <c r="N34" s="1384"/>
      <c r="O34" s="1384"/>
      <c r="P34" s="1384"/>
      <c r="Q34" s="1384"/>
      <c r="S34" s="2266" t="s">
        <v>44</v>
      </c>
      <c r="T34" s="2266"/>
      <c r="U34" s="1388"/>
      <c r="V34" s="2267" t="str">
        <f>IF(TITLE_IST_PUB_CHANGE="",IF(TITLE_IST_PUB="","",TITLE_IST_PUB),TITLE_IST_PUB_CHANGE)</f>
        <v>http://pravo.gov.ru</v>
      </c>
      <c r="W34" s="2267"/>
      <c r="X34" s="2267"/>
      <c r="Y34" s="2267"/>
      <c r="Z34" s="2267"/>
      <c r="AA34" s="2267"/>
      <c r="AB34" s="2267"/>
      <c r="AC34" s="342"/>
      <c r="AD34" s="2267" t="str">
        <f>IF(TITLE_IST_PUB_CHANGE="",IF(TITLE_IST_PUB="","",TITLE_IST_PUB),TITLE_IST_PUB_CHANGE)</f>
        <v>http://pravo.gov.ru</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42"/>
      <c r="BB34" s="342"/>
      <c r="BC34" s="296"/>
      <c r="BD34" s="384"/>
      <c r="BE34" s="384"/>
      <c r="BF34" s="384"/>
      <c r="BG34" s="384"/>
      <c r="BH34" s="384"/>
      <c r="BI34" s="434">
        <v>0</v>
      </c>
    </row>
    <row customHeight="1" ht="14.25" hidden="1">
      <c r="Q35" s="307"/>
      <c r="R35" s="392"/>
      <c r="S35" s="1291"/>
      <c r="T35" s="379"/>
      <c r="U35" s="379"/>
      <c r="V35" s="338"/>
      <c r="W35" s="338"/>
      <c r="X35" s="338"/>
      <c r="Y35" s="338"/>
      <c r="Z35" s="338"/>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8"/>
      <c r="AY35" s="338"/>
      <c r="AZ35" s="338"/>
      <c r="BA35" s="338"/>
      <c r="BB35" s="525"/>
      <c r="BI35" s="1171">
        <v>0</v>
      </c>
    </row>
    <row s="1869" customFormat="1" customHeight="1" ht="18.75" hidden="1">
      <c r="A36" s="1384"/>
      <c r="B36" s="1384"/>
      <c r="C36" s="1384"/>
      <c r="D36" s="1384"/>
      <c r="E36" s="1384"/>
      <c r="F36" s="1384"/>
      <c r="G36" s="1384"/>
      <c r="H36" s="1384"/>
      <c r="I36" s="1384"/>
      <c r="J36" s="1384"/>
      <c r="K36" s="1384"/>
      <c r="L36" s="1385"/>
      <c r="M36" s="1384"/>
      <c r="N36" s="1384"/>
      <c r="O36" s="1384"/>
      <c r="P36" s="1384"/>
      <c r="Q36" s="1384"/>
      <c r="S36" s="2266" t="s">
        <v>573</v>
      </c>
      <c r="T36" s="2266"/>
      <c r="U36" s="1388"/>
      <c r="V36" s="2280" t="str">
        <f>IF(TITLE_DATE_PR_CHANGE="",IF(TITLE_DATE_PR="","",TITLE_DATE_PR),TITLE_DATE_PR_CHANGE)</f>
        <v>45910</v>
      </c>
      <c r="W36" s="2280"/>
      <c r="X36" s="2280"/>
      <c r="Y36" s="2280"/>
      <c r="Z36" s="2280"/>
      <c r="AA36" s="2280"/>
      <c r="AB36" s="2280"/>
      <c r="AC36" s="342"/>
      <c r="AD36" s="2280" t="str">
        <f>IF(TITLE_DATE_PR_CHANGE="",IF(TITLE_DATE_PR="","",TITLE_DATE_PR),TITLE_DATE_PR_CHANGE)</f>
        <v>45910</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42"/>
      <c r="BB36" s="342"/>
      <c r="BC36" s="296"/>
      <c r="BD36" s="384"/>
      <c r="BE36" s="384"/>
      <c r="BF36" s="384"/>
      <c r="BG36" s="384"/>
      <c r="BH36" s="384"/>
      <c r="BI36" s="434">
        <v>0</v>
      </c>
    </row>
    <row s="1869" customFormat="1" customHeight="1" ht="18.75" hidden="1">
      <c r="A37" s="1384"/>
      <c r="B37" s="1384"/>
      <c r="C37" s="1384"/>
      <c r="D37" s="1384"/>
      <c r="E37" s="1384"/>
      <c r="F37" s="1384"/>
      <c r="G37" s="1384"/>
      <c r="H37" s="1384"/>
      <c r="I37" s="1384"/>
      <c r="J37" s="1384"/>
      <c r="K37" s="1384"/>
      <c r="L37" s="1385"/>
      <c r="M37" s="1384"/>
      <c r="N37" s="1384"/>
      <c r="O37" s="1384"/>
      <c r="P37" s="1384"/>
      <c r="Q37" s="1384"/>
      <c r="S37" s="2266" t="s">
        <v>574</v>
      </c>
      <c r="T37" s="2266"/>
      <c r="U37" s="1388"/>
      <c r="V37" s="2267" t="str">
        <f>IF(TITLE_NUMBER_PR_CHANGE="",IF(TITLE_NUMBER_PR="","",TITLE_NUMBER_PR),TITLE_NUMBER_PR_CHANGE)</f>
        <v>37/2</v>
      </c>
      <c r="W37" s="2267"/>
      <c r="X37" s="2267"/>
      <c r="Y37" s="2267"/>
      <c r="Z37" s="2267"/>
      <c r="AA37" s="2267"/>
      <c r="AB37" s="2267"/>
      <c r="AC37" s="342"/>
      <c r="AD37" s="2267" t="str">
        <f>IF(TITLE_NUMBER_PR_CHANGE="",IF(TITLE_NUMBER_PR="","",TITLE_NUMBER_PR),TITLE_NUMBER_PR_CHANGE)</f>
        <v>37/2</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42"/>
      <c r="BB37" s="342"/>
      <c r="BC37" s="296"/>
      <c r="BD37" s="384"/>
      <c r="BE37" s="384"/>
      <c r="BF37" s="384"/>
      <c r="BG37" s="384"/>
      <c r="BH37" s="384"/>
      <c r="BI37" s="434">
        <v>0</v>
      </c>
    </row>
    <row s="1869" customFormat="1" customHeight="1" ht="0">
      <c r="A38" s="1384"/>
      <c r="B38" s="1384"/>
      <c r="C38" s="1384"/>
      <c r="D38" s="1384"/>
      <c r="E38" s="1384"/>
      <c r="F38" s="1384"/>
      <c r="G38" s="1384"/>
      <c r="H38" s="1384"/>
      <c r="I38" s="1384"/>
      <c r="J38" s="1384"/>
      <c r="K38" s="1384"/>
      <c r="L38" s="1385"/>
      <c r="M38" s="1384"/>
      <c r="N38" s="1384"/>
      <c r="O38" s="1384"/>
      <c r="P38" s="1384"/>
      <c r="Q38" s="1384"/>
      <c r="S38" s="339"/>
      <c r="T38" s="339"/>
      <c r="U38" s="1470"/>
      <c r="V38" s="342"/>
      <c r="W38" s="342"/>
      <c r="X38" s="342"/>
      <c r="Y38" s="342"/>
      <c r="Z38" s="342"/>
      <c r="AA38" s="342"/>
      <c r="AB38" s="342"/>
      <c r="AC38" s="294" t="s">
        <v>577</v>
      </c>
      <c r="AD38" s="342"/>
      <c r="AE38" s="342"/>
      <c r="AF38" s="342"/>
      <c r="AG38" s="342"/>
      <c r="AH38" s="342"/>
      <c r="AI38" s="342"/>
      <c r="AJ38" s="342"/>
      <c r="AK38" s="342"/>
      <c r="AL38" s="342"/>
      <c r="AM38" s="342"/>
      <c r="AN38" s="342"/>
      <c r="AO38" s="342"/>
      <c r="AP38" s="342"/>
      <c r="AQ38" s="342"/>
      <c r="AR38" s="342"/>
      <c r="AS38" s="342"/>
      <c r="AT38" s="342"/>
      <c r="AU38" s="342"/>
      <c r="AV38" s="342"/>
      <c r="AW38" s="342"/>
      <c r="AX38" s="342"/>
      <c r="AY38" s="342"/>
      <c r="AZ38" s="342"/>
      <c r="BA38" s="294" t="s">
        <v>577</v>
      </c>
      <c r="BD38" s="384"/>
      <c r="BE38" s="384"/>
      <c r="BF38" s="384"/>
      <c r="BG38" s="384"/>
      <c r="BH38" s="384"/>
      <c r="BI38" s="434">
        <v>0</v>
      </c>
    </row>
    <row customHeight="1" ht="14.699999999999998">
      <c r="Q39" s="307"/>
      <c r="R39" s="392"/>
      <c r="S39" s="1291"/>
      <c r="T39" s="379"/>
      <c r="U39" s="1260"/>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71">
        <v>14</v>
      </c>
    </row>
    <row customHeight="1" ht="14.699999999999998">
      <c r="Q40" s="307"/>
      <c r="R40" s="392"/>
      <c r="S40" s="2143" t="s">
        <v>453</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454</v>
      </c>
      <c r="BI40" s="1171">
        <v>14</v>
      </c>
    </row>
    <row customHeight="1" ht="14.699999999999998">
      <c r="Q41" s="307"/>
      <c r="R41" s="392"/>
      <c r="S41" s="2289" t="s">
        <v>91</v>
      </c>
      <c r="T41" s="2225" t="s">
        <v>660</v>
      </c>
      <c r="U41" s="317"/>
      <c r="V41" s="2290" t="s">
        <v>579</v>
      </c>
      <c r="W41" s="2291"/>
      <c r="X41" s="2291"/>
      <c r="Y41" s="2291"/>
      <c r="Z41" s="2291"/>
      <c r="AA41" s="2291"/>
      <c r="AB41" s="2292"/>
      <c r="AC41" s="2293" t="s">
        <v>580</v>
      </c>
      <c r="AD41" s="2344" t="s">
        <v>661</v>
      </c>
      <c r="AE41" s="2307"/>
      <c r="AF41" s="2307"/>
      <c r="AG41" s="2345"/>
      <c r="AH41" s="2344" t="s">
        <v>662</v>
      </c>
      <c r="AI41" s="2307"/>
      <c r="AJ41" s="2307"/>
      <c r="AK41" s="2345"/>
      <c r="AL41" s="2344" t="s">
        <v>663</v>
      </c>
      <c r="AM41" s="2307"/>
      <c r="AN41" s="2307"/>
      <c r="AO41" s="2345"/>
      <c r="AP41" s="2344" t="s">
        <v>664</v>
      </c>
      <c r="AQ41" s="2307"/>
      <c r="AR41" s="2307"/>
      <c r="AS41" s="2345"/>
      <c r="AT41" s="2290" t="s">
        <v>579</v>
      </c>
      <c r="AU41" s="2291"/>
      <c r="AV41" s="2291"/>
      <c r="AW41" s="2291"/>
      <c r="AX41" s="2291"/>
      <c r="AY41" s="2291"/>
      <c r="AZ41" s="2292"/>
      <c r="BA41" s="2293" t="s">
        <v>580</v>
      </c>
      <c r="BB41" s="2296" t="s">
        <v>582</v>
      </c>
      <c r="BC41" s="2143"/>
      <c r="BI41" s="1171">
        <v>14</v>
      </c>
    </row>
    <row customHeight="1" ht="35.699999999999996">
      <c r="Q42" s="307"/>
      <c r="R42" s="392"/>
      <c r="S42" s="2289"/>
      <c r="T42" s="2225"/>
      <c r="U42" s="1047"/>
      <c r="V42" s="2208" t="s">
        <v>665</v>
      </c>
      <c r="W42" s="2209"/>
      <c r="X42" s="2208" t="s">
        <v>666</v>
      </c>
      <c r="Y42" s="2209"/>
      <c r="Z42" s="2310" t="s">
        <v>667</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665</v>
      </c>
      <c r="AU42" s="2209"/>
      <c r="AV42" s="2208" t="s">
        <v>666</v>
      </c>
      <c r="AW42" s="2209"/>
      <c r="AX42" s="2310" t="s">
        <v>667</v>
      </c>
      <c r="AY42" s="2329"/>
      <c r="AZ42" s="2330"/>
      <c r="BA42" s="2294"/>
      <c r="BB42" s="2297"/>
      <c r="BC42" s="2143"/>
      <c r="BI42" s="1171">
        <v>34</v>
      </c>
    </row>
    <row customHeight="1" ht="14.699999999999998">
      <c r="Q43" s="307"/>
      <c r="R43" s="392"/>
      <c r="S43" s="2289"/>
      <c r="T43" s="2225"/>
      <c r="U43" s="1047"/>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71">
        <v>14</v>
      </c>
    </row>
    <row customHeight="1" ht="14.699999999999998">
      <c r="A44" s="1386"/>
      <c r="B44" s="1386" t="s">
        <v>204</v>
      </c>
      <c r="C44" s="1386" t="s">
        <v>205</v>
      </c>
      <c r="D44" s="1386" t="s">
        <v>206</v>
      </c>
      <c r="E44" s="1380" t="s">
        <v>587</v>
      </c>
      <c r="F44" s="1380" t="s">
        <v>588</v>
      </c>
      <c r="G44" s="1380" t="s">
        <v>589</v>
      </c>
      <c r="H44" s="1380" t="s">
        <v>590</v>
      </c>
      <c r="I44" s="1380" t="s">
        <v>591</v>
      </c>
      <c r="J44" s="1380" t="s">
        <v>592</v>
      </c>
      <c r="K44" s="1380" t="s">
        <v>593</v>
      </c>
      <c r="L44" s="1380" t="s">
        <v>568</v>
      </c>
      <c r="Q44" s="307"/>
      <c r="R44" s="392"/>
      <c r="S44" s="2289"/>
      <c r="T44" s="2225"/>
      <c r="U44" s="318"/>
      <c r="V44" s="1464" t="s">
        <v>628</v>
      </c>
      <c r="W44" s="1464" t="s">
        <v>629</v>
      </c>
      <c r="X44" s="1464" t="s">
        <v>628</v>
      </c>
      <c r="Y44" s="1464" t="s">
        <v>629</v>
      </c>
      <c r="Z44" s="1471" t="s">
        <v>596</v>
      </c>
      <c r="AA44" s="2286" t="s">
        <v>597</v>
      </c>
      <c r="AB44" s="2287"/>
      <c r="AC44" s="2295"/>
      <c r="AD44" s="2349"/>
      <c r="AE44" s="2350"/>
      <c r="AF44" s="2350"/>
      <c r="AG44" s="2351"/>
      <c r="AH44" s="2349"/>
      <c r="AI44" s="2350"/>
      <c r="AJ44" s="2350"/>
      <c r="AK44" s="2351"/>
      <c r="AL44" s="2349"/>
      <c r="AM44" s="2350"/>
      <c r="AN44" s="2350"/>
      <c r="AO44" s="2351"/>
      <c r="AP44" s="2349"/>
      <c r="AQ44" s="2350"/>
      <c r="AR44" s="2350"/>
      <c r="AS44" s="2351"/>
      <c r="AT44" s="1464" t="s">
        <v>628</v>
      </c>
      <c r="AU44" s="1464" t="s">
        <v>629</v>
      </c>
      <c r="AV44" s="1464" t="s">
        <v>628</v>
      </c>
      <c r="AW44" s="1464" t="s">
        <v>629</v>
      </c>
      <c r="AX44" s="1471" t="s">
        <v>596</v>
      </c>
      <c r="AY44" s="2286" t="s">
        <v>597</v>
      </c>
      <c r="AZ44" s="2287"/>
      <c r="BA44" s="2295"/>
      <c r="BB44" s="2298"/>
      <c r="BC44" s="2143"/>
      <c r="BI44" s="1171">
        <v>14</v>
      </c>
    </row>
    <row s="1657" customFormat="1" customHeight="1" ht="11.25" hidden="1">
      <c r="A45" s="1386"/>
      <c r="B45" s="1386"/>
      <c r="C45" s="1386"/>
      <c r="D45" s="1386"/>
      <c r="E45" s="1386"/>
      <c r="F45" s="1386"/>
      <c r="G45" s="1386"/>
      <c r="H45" s="1386"/>
      <c r="I45" s="1386"/>
      <c r="J45" s="1386"/>
      <c r="K45" s="1386"/>
      <c r="L45" s="1380"/>
      <c r="M45" s="1378"/>
      <c r="N45" s="1378"/>
      <c r="O45" s="1378"/>
      <c r="P45" s="526"/>
      <c r="Q45" s="1270"/>
      <c r="R45" s="1270">
        <v>1</v>
      </c>
      <c r="S45" s="1293" t="s">
        <v>141</v>
      </c>
      <c r="T45" s="1271" t="s">
        <v>107</v>
      </c>
      <c r="U45" s="1261" t="str">
        <f>OFFSET(U45,0,-1)</f>
        <v>2</v>
      </c>
      <c r="V45" s="1467">
        <f>OFFSET(V45,0,-1)+1</f>
        <v>3</v>
      </c>
      <c r="W45" s="1467">
        <f>OFFSET(W45,0,-1)+1</f>
        <v>4</v>
      </c>
      <c r="X45" s="1467">
        <f>OFFSET(X45,0,-1)+1</f>
        <v>5</v>
      </c>
      <c r="Y45" s="1467">
        <f>OFFSET(Y45,0,-1)+1</f>
        <v>6</v>
      </c>
      <c r="Z45" s="1467">
        <f>OFFSET(Z45,0,-1)+1</f>
        <v>7</v>
      </c>
      <c r="AA45" s="2288">
        <f>OFFSET(AA45,0,-1)+1</f>
        <v>8</v>
      </c>
      <c r="AB45" s="2288"/>
      <c r="AC45" s="1467">
        <f>OFFSET(AC45,0,-2)+1</f>
        <v>9</v>
      </c>
      <c r="AD45" s="1467">
        <f>OFFSET(AD45,0,-1)+1</f>
        <v>10</v>
      </c>
      <c r="AE45" s="1467"/>
      <c r="AF45" s="1467"/>
      <c r="AG45" s="1467"/>
      <c r="AH45" s="1467"/>
      <c r="AI45" s="1467"/>
      <c r="AJ45" s="1467"/>
      <c r="AK45" s="1467"/>
      <c r="AL45" s="1467"/>
      <c r="AM45" s="1467"/>
      <c r="AN45" s="1467"/>
      <c r="AO45" s="1467"/>
      <c r="AP45" s="1467"/>
      <c r="AQ45" s="1467"/>
      <c r="AR45" s="1467"/>
      <c r="AS45" s="1467"/>
      <c r="AT45" s="1467"/>
      <c r="AU45" s="1467"/>
      <c r="AV45" s="1467"/>
      <c r="AW45" s="1467">
        <f>OFFSET(AW45,0,-1)+1</f>
        <v>1</v>
      </c>
      <c r="AX45" s="1467">
        <f>OFFSET(AX45,0,-1)+1</f>
        <v>2</v>
      </c>
      <c r="AY45" s="2288">
        <f>OFFSET(AY45,0,-1)+1</f>
        <v>3</v>
      </c>
      <c r="AZ45" s="2288"/>
      <c r="BA45" s="1467">
        <f>OFFSET(BA45,0,-2)+1</f>
        <v>4</v>
      </c>
      <c r="BB45" s="1261">
        <f>OFFSET(BB45,0,-1)</f>
        <v>4</v>
      </c>
      <c r="BC45" s="1467">
        <f>OFFSET(BC45,0,-1)+1</f>
        <v>5</v>
      </c>
      <c r="BD45" s="527"/>
      <c r="BE45" s="527"/>
      <c r="BF45" s="527"/>
      <c r="BG45" s="527"/>
      <c r="BH45" s="527"/>
      <c r="BI45" s="512">
        <v>0</v>
      </c>
    </row>
    <row customHeight="1" ht="22.049999999999997">
      <c r="A46" s="1379" t="s">
        <v>399</v>
      </c>
      <c r="B46" s="1379"/>
      <c r="C46" s="1379"/>
      <c r="D46" s="1379"/>
      <c r="E46" s="2274">
        <v>1</v>
      </c>
      <c r="F46" s="1379"/>
      <c r="G46" s="1379"/>
      <c r="H46" s="1379"/>
      <c r="I46" s="1379"/>
      <c r="J46" s="1379"/>
      <c r="K46" s="1379"/>
      <c r="L46" s="1380"/>
      <c r="M46" s="1381"/>
      <c r="N46" s="1381"/>
      <c r="O46" s="1381"/>
      <c r="P46" s="1425"/>
      <c r="Q46" s="889"/>
      <c r="R46" s="371"/>
      <c r="S46" s="1473">
        <f>INDEX(PT_DIFFERENTIATION_NUM_NTAR,MATCH(A46,PT_DIFFERENTIATION_NTAR_ID,0))</f>
        <v>0</v>
      </c>
      <c r="T46" s="314" t="s">
        <v>192</v>
      </c>
      <c r="U46" s="316"/>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6"/>
      <c r="BF46" s="516" t="str">
        <f>IF(T46="","",T46)</f>
        <v>Наименование тарифа</v>
      </c>
      <c r="BG46" s="516"/>
      <c r="BH46" s="516"/>
      <c r="BI46" s="1171">
        <v>21</v>
      </c>
    </row>
    <row customHeight="1" ht="22.049999999999997">
      <c r="A47" s="1379" t="s">
        <v>399</v>
      </c>
      <c r="B47" s="1379" t="s">
        <v>400</v>
      </c>
      <c r="C47" s="1379"/>
      <c r="D47" s="1379"/>
      <c r="E47" s="2275"/>
      <c r="F47" s="2274">
        <v>1</v>
      </c>
      <c r="G47" s="1379"/>
      <c r="H47" s="1379"/>
      <c r="I47" s="1379"/>
      <c r="J47" s="1379"/>
      <c r="K47" s="1379"/>
      <c r="L47" s="1380"/>
      <c r="M47" s="1381"/>
      <c r="N47" s="1381"/>
      <c r="O47" s="1381"/>
      <c r="P47" s="1426"/>
      <c r="Q47" s="1427"/>
      <c r="R47" s="369"/>
      <c r="S47" s="1473" t="str">
        <f>INDEX(PT_DIFFERENTIATION_NUM_TER,MATCH(B47,PT_DIFFERENTIATION_TER_ID,0))</f>
        <v>.</v>
      </c>
      <c r="T47" s="324" t="s">
        <v>550</v>
      </c>
      <c r="U47" s="316"/>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74" t="s">
        <v>551</v>
      </c>
      <c r="BE47" s="516"/>
      <c r="BF47" s="516" t="str">
        <f>IF(T47="","",T47)</f>
        <v>Территория действия тарифа</v>
      </c>
      <c r="BG47" s="516"/>
      <c r="BH47" s="516"/>
      <c r="BI47" s="1171">
        <v>21</v>
      </c>
    </row>
    <row customHeight="1" ht="43.050000000000004">
      <c r="A48" s="1379" t="s">
        <v>399</v>
      </c>
      <c r="B48" s="1379" t="s">
        <v>400</v>
      </c>
      <c r="C48" s="1379" t="s">
        <v>401</v>
      </c>
      <c r="D48" s="1379"/>
      <c r="E48" s="2275"/>
      <c r="F48" s="2275"/>
      <c r="G48" s="2274">
        <v>1</v>
      </c>
      <c r="H48" s="1379"/>
      <c r="I48" s="1379"/>
      <c r="J48" s="1379"/>
      <c r="K48" s="1379"/>
      <c r="L48" s="1380"/>
      <c r="M48" s="1381"/>
      <c r="N48" s="1381"/>
      <c r="O48" s="1381"/>
      <c r="P48" s="1428"/>
      <c r="Q48" s="1427"/>
      <c r="R48" s="369"/>
      <c r="S48" s="1473" t="str">
        <f>INDEX(PT_DIFFERENTIATION_NUM_CS,MATCH(C48,PT_DIFFERENTIATION_CS_ID,0))</f>
        <v>..</v>
      </c>
      <c r="T48" s="325" t="s">
        <v>634</v>
      </c>
      <c r="U48" s="316"/>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74" t="s">
        <v>635</v>
      </c>
      <c r="BE48" s="516"/>
      <c r="BF48" s="516" t="str">
        <f>IF(T48="","",T48)</f>
        <v>Наименование централизованной системы холодного водоснабжения</v>
      </c>
      <c r="BG48" s="516"/>
      <c r="BH48" s="516"/>
      <c r="BI48" s="1171">
        <v>41</v>
      </c>
    </row>
    <row s="1658" customFormat="1" customHeight="1" ht="0">
      <c r="A49" s="1359" t="s">
        <v>399</v>
      </c>
      <c r="B49" s="1359" t="s">
        <v>400</v>
      </c>
      <c r="C49" s="1359" t="s">
        <v>401</v>
      </c>
      <c r="D49" s="1359" t="s">
        <v>668</v>
      </c>
      <c r="E49" s="2275"/>
      <c r="F49" s="2275"/>
      <c r="G49" s="2275"/>
      <c r="H49" s="2274">
        <v>1</v>
      </c>
      <c r="I49" s="1359"/>
      <c r="J49" s="1359"/>
      <c r="K49" s="1359"/>
      <c r="L49" s="1362"/>
      <c r="M49" s="1331"/>
      <c r="N49" s="1331"/>
      <c r="O49" s="1331"/>
      <c r="P49" s="1513"/>
      <c r="Q49" s="1514"/>
      <c r="R49" s="373"/>
      <c r="S49" s="1058"/>
      <c r="T49" s="1515"/>
      <c r="U49" s="1400"/>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401" t="s">
        <v>555</v>
      </c>
      <c r="BE49" s="516"/>
      <c r="BF49" s="516" t="str">
        <f>IF(T49="","",T49)</f>
        <v/>
      </c>
      <c r="BG49" s="516"/>
      <c r="BH49" s="516"/>
      <c r="BI49" s="527">
        <v>0</v>
      </c>
    </row>
    <row s="1658" customFormat="1" customHeight="1" ht="0">
      <c r="A50" s="1359" t="s">
        <v>399</v>
      </c>
      <c r="B50" s="1359" t="s">
        <v>400</v>
      </c>
      <c r="C50" s="1359" t="s">
        <v>401</v>
      </c>
      <c r="D50" s="1359" t="s">
        <v>668</v>
      </c>
      <c r="E50" s="2275"/>
      <c r="F50" s="2275"/>
      <c r="G50" s="2275"/>
      <c r="H50" s="2275"/>
      <c r="I50" s="2272" t="str">
        <f>S49&amp;".1"</f>
        <v>.1</v>
      </c>
      <c r="J50" s="1359"/>
      <c r="K50" s="1359"/>
      <c r="L50" s="1362" t="s">
        <v>556</v>
      </c>
      <c r="M50" s="526"/>
      <c r="N50" s="526"/>
      <c r="O50" s="526"/>
      <c r="P50" s="2273">
        <v>1</v>
      </c>
      <c r="Q50" s="1478"/>
      <c r="R50" s="372"/>
      <c r="S50" s="1058"/>
      <c r="T50" s="1399"/>
      <c r="U50" s="1400"/>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401"/>
      <c r="BE50" s="516"/>
      <c r="BF50" s="516" t="str">
        <f>IF(T50="","",T50)</f>
        <v/>
      </c>
      <c r="BG50" s="516"/>
      <c r="BH50" s="516"/>
      <c r="BI50" s="527">
        <v>0</v>
      </c>
    </row>
    <row s="1658" customFormat="1" customHeight="1" ht="0">
      <c r="A51" s="1359" t="s">
        <v>399</v>
      </c>
      <c r="B51" s="1359" t="s">
        <v>400</v>
      </c>
      <c r="C51" s="1359" t="s">
        <v>401</v>
      </c>
      <c r="D51" s="1359" t="s">
        <v>668</v>
      </c>
      <c r="E51" s="2275"/>
      <c r="F51" s="2275"/>
      <c r="G51" s="2275"/>
      <c r="H51" s="2275"/>
      <c r="I51" s="2302"/>
      <c r="J51" s="2272" t="str">
        <f>S49&amp;".1"</f>
        <v>.1</v>
      </c>
      <c r="K51" s="1359"/>
      <c r="L51" s="1362"/>
      <c r="M51" s="526"/>
      <c r="N51" s="526"/>
      <c r="O51" s="526"/>
      <c r="P51" s="2273"/>
      <c r="Q51" s="2273">
        <v>1</v>
      </c>
      <c r="R51" s="373"/>
      <c r="S51" s="1058"/>
      <c r="T51" s="1415"/>
      <c r="U51" s="1400"/>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401"/>
      <c r="BE51" s="516"/>
      <c r="BF51" s="516" t="str">
        <f>IF(T51="","",T51)</f>
        <v/>
      </c>
      <c r="BG51" s="516"/>
      <c r="BH51" s="516"/>
      <c r="BI51" s="527">
        <v>0</v>
      </c>
    </row>
    <row customHeight="1" ht="11.549999999999999">
      <c r="A52" s="1379" t="s">
        <v>399</v>
      </c>
      <c r="B52" s="1379" t="s">
        <v>400</v>
      </c>
      <c r="C52" s="1379" t="s">
        <v>401</v>
      </c>
      <c r="D52" s="1379" t="s">
        <v>668</v>
      </c>
      <c r="E52" s="2275"/>
      <c r="F52" s="2275"/>
      <c r="G52" s="2275"/>
      <c r="H52" s="2275"/>
      <c r="I52" s="2302"/>
      <c r="J52" s="2302"/>
      <c r="K52" s="2272" t="str">
        <f>S48&amp;".1"</f>
        <v>...1</v>
      </c>
      <c r="L52" s="1380"/>
      <c r="P52" s="2273"/>
      <c r="Q52" s="2273"/>
      <c r="R52" s="373">
        <v>1</v>
      </c>
      <c r="S52" s="2357" t="str">
        <f>$K52</f>
        <v>...1</v>
      </c>
      <c r="T52" s="2376"/>
      <c r="U52" s="316"/>
      <c r="V52" s="767"/>
      <c r="W52" s="1273"/>
      <c r="X52" s="767"/>
      <c r="Y52" s="1273"/>
      <c r="Z52" s="1750"/>
      <c r="AA52" s="1475" t="s">
        <v>64</v>
      </c>
      <c r="AB52" s="1750"/>
      <c r="AC52" s="1475" t="s">
        <v>64</v>
      </c>
      <c r="AD52" s="2201" t="s">
        <v>64</v>
      </c>
      <c r="AE52" s="2342"/>
      <c r="AF52" s="2221">
        <v>1</v>
      </c>
      <c r="AG52" s="2379"/>
      <c r="AH52" s="2123" t="s">
        <v>64</v>
      </c>
      <c r="AI52" s="2342"/>
      <c r="AJ52" s="2221">
        <v>1</v>
      </c>
      <c r="AK52" s="2343" t="s">
        <v>28</v>
      </c>
      <c r="AL52" s="2123" t="s">
        <v>64</v>
      </c>
      <c r="AM52" s="2208"/>
      <c r="AN52" s="2221">
        <v>1</v>
      </c>
      <c r="AO52" s="2373"/>
      <c r="AP52" s="2374" t="s">
        <v>64</v>
      </c>
      <c r="AQ52" s="327"/>
      <c r="AR52" s="1479">
        <v>1</v>
      </c>
      <c r="AS52" s="1482" t="s">
        <v>28</v>
      </c>
      <c r="AT52" s="767"/>
      <c r="AU52" s="1273"/>
      <c r="AV52" s="767"/>
      <c r="AW52" s="1273"/>
      <c r="AX52" s="1750"/>
      <c r="AY52" s="1475" t="s">
        <v>64</v>
      </c>
      <c r="AZ52" s="1750"/>
      <c r="BA52" s="1475" t="s">
        <v>64</v>
      </c>
      <c r="BB52" s="1364"/>
      <c r="BC52" s="2269" t="s">
        <v>654</v>
      </c>
      <c r="BE52" s="516"/>
      <c r="BF52" s="516" t="str">
        <f>IF(T52="","",T52)</f>
        <v/>
      </c>
      <c r="BG52" s="516"/>
      <c r="BH52" s="516"/>
      <c r="BI52" s="1171">
        <v>11</v>
      </c>
    </row>
    <row customHeight="1" ht="11.549999999999999">
      <c r="A53" s="1379"/>
      <c r="B53" s="1379"/>
      <c r="C53" s="1379"/>
      <c r="D53" s="1379"/>
      <c r="E53" s="2275"/>
      <c r="F53" s="2275"/>
      <c r="G53" s="2275"/>
      <c r="H53" s="2275"/>
      <c r="I53" s="2302"/>
      <c r="J53" s="2302"/>
      <c r="K53" s="2272"/>
      <c r="L53" s="1380"/>
      <c r="P53" s="2273"/>
      <c r="Q53" s="2273"/>
      <c r="R53" s="373"/>
      <c r="S53" s="2358"/>
      <c r="T53" s="2377"/>
      <c r="U53" s="316"/>
      <c r="V53" s="1409"/>
      <c r="W53" s="1512"/>
      <c r="X53" s="1409"/>
      <c r="Y53" s="1512"/>
      <c r="Z53" s="1409"/>
      <c r="AA53" s="1409"/>
      <c r="AB53" s="1409"/>
      <c r="AC53" s="1409"/>
      <c r="AD53" s="2202"/>
      <c r="AE53" s="2342"/>
      <c r="AF53" s="2221"/>
      <c r="AG53" s="2379"/>
      <c r="AH53" s="2123"/>
      <c r="AI53" s="2342"/>
      <c r="AJ53" s="2221"/>
      <c r="AK53" s="2343"/>
      <c r="AL53" s="2123"/>
      <c r="AM53" s="2216"/>
      <c r="AN53" s="2221"/>
      <c r="AO53" s="2373"/>
      <c r="AP53" s="2375"/>
      <c r="AQ53" s="332"/>
      <c r="AR53" s="432"/>
      <c r="AS53" s="432" t="s">
        <v>655</v>
      </c>
      <c r="AT53" s="1409"/>
      <c r="AU53" s="1512"/>
      <c r="AV53" s="1409"/>
      <c r="AW53" s="1512"/>
      <c r="AX53" s="1409"/>
      <c r="AY53" s="1409"/>
      <c r="AZ53" s="1409"/>
      <c r="BA53" s="1409"/>
      <c r="BB53" s="1413"/>
      <c r="BC53" s="2270"/>
      <c r="BE53" s="516"/>
      <c r="BF53" s="516"/>
      <c r="BG53" s="516"/>
      <c r="BH53" s="516"/>
      <c r="BI53" s="1171">
        <v>11</v>
      </c>
    </row>
    <row customHeight="1" ht="11.549999999999999">
      <c r="A54" s="1379" t="s">
        <v>399</v>
      </c>
      <c r="B54" s="1379"/>
      <c r="C54" s="1379"/>
      <c r="D54" s="1379"/>
      <c r="E54" s="2275"/>
      <c r="F54" s="2275"/>
      <c r="G54" s="2275"/>
      <c r="H54" s="2275"/>
      <c r="I54" s="2302"/>
      <c r="J54" s="2302"/>
      <c r="K54" s="2272"/>
      <c r="L54" s="1380"/>
      <c r="P54" s="2273"/>
      <c r="Q54" s="2273"/>
      <c r="R54" s="373"/>
      <c r="S54" s="2358"/>
      <c r="T54" s="2377"/>
      <c r="U54" s="316"/>
      <c r="V54" s="1409"/>
      <c r="W54" s="1512"/>
      <c r="X54" s="1409"/>
      <c r="Y54" s="1512"/>
      <c r="Z54" s="1409"/>
      <c r="AA54" s="1409"/>
      <c r="AB54" s="1409"/>
      <c r="AC54" s="1409"/>
      <c r="AD54" s="2202"/>
      <c r="AE54" s="2342"/>
      <c r="AF54" s="2221"/>
      <c r="AG54" s="2379"/>
      <c r="AH54" s="2123"/>
      <c r="AI54" s="2342"/>
      <c r="AJ54" s="2221"/>
      <c r="AK54" s="2343"/>
      <c r="AL54" s="2123"/>
      <c r="AM54" s="332"/>
      <c r="AN54" s="1516"/>
      <c r="AO54" s="1516" t="s">
        <v>656</v>
      </c>
      <c r="AP54" s="432"/>
      <c r="AQ54" s="432"/>
      <c r="AR54" s="432"/>
      <c r="AS54" s="1409"/>
      <c r="AT54" s="1409"/>
      <c r="AU54" s="1512"/>
      <c r="AV54" s="1409"/>
      <c r="AW54" s="1512"/>
      <c r="AX54" s="1409"/>
      <c r="AY54" s="1409"/>
      <c r="AZ54" s="1409"/>
      <c r="BA54" s="1409"/>
      <c r="BB54" s="1413"/>
      <c r="BC54" s="2270"/>
      <c r="BE54" s="516"/>
      <c r="BF54" s="516"/>
      <c r="BG54" s="516"/>
      <c r="BH54" s="516"/>
      <c r="BI54" s="1171">
        <v>11</v>
      </c>
    </row>
    <row customHeight="1" ht="11.549999999999999">
      <c r="A55" s="1379" t="s">
        <v>399</v>
      </c>
      <c r="B55" s="1379"/>
      <c r="C55" s="1379"/>
      <c r="D55" s="1379"/>
      <c r="E55" s="2275"/>
      <c r="F55" s="2275"/>
      <c r="G55" s="2275"/>
      <c r="H55" s="2275"/>
      <c r="I55" s="2302"/>
      <c r="J55" s="2302"/>
      <c r="K55" s="2272"/>
      <c r="L55" s="1380"/>
      <c r="P55" s="2273"/>
      <c r="Q55" s="2273"/>
      <c r="R55" s="373"/>
      <c r="S55" s="2358"/>
      <c r="T55" s="2377"/>
      <c r="U55" s="316"/>
      <c r="V55" s="1409"/>
      <c r="W55" s="1512"/>
      <c r="X55" s="1409"/>
      <c r="Y55" s="1512"/>
      <c r="Z55" s="1409"/>
      <c r="AA55" s="1409"/>
      <c r="AB55" s="1409"/>
      <c r="AC55" s="1409"/>
      <c r="AD55" s="2202"/>
      <c r="AE55" s="2342"/>
      <c r="AF55" s="2221"/>
      <c r="AG55" s="2379"/>
      <c r="AH55" s="2123"/>
      <c r="AI55" s="310"/>
      <c r="AJ55" s="431"/>
      <c r="AK55" s="329" t="s">
        <v>657</v>
      </c>
      <c r="AL55" s="1409"/>
      <c r="AM55" s="1409"/>
      <c r="AN55" s="1409"/>
      <c r="AO55" s="1409"/>
      <c r="AP55" s="1409"/>
      <c r="AQ55" s="1409"/>
      <c r="AR55" s="1409"/>
      <c r="AS55" s="1409"/>
      <c r="AT55" s="1409"/>
      <c r="AU55" s="1512"/>
      <c r="AV55" s="1409"/>
      <c r="AW55" s="1512"/>
      <c r="AX55" s="1409"/>
      <c r="AY55" s="1409"/>
      <c r="AZ55" s="1409"/>
      <c r="BA55" s="1409"/>
      <c r="BB55" s="1413"/>
      <c r="BC55" s="2270"/>
      <c r="BE55" s="516"/>
      <c r="BF55" s="516"/>
      <c r="BG55" s="516"/>
      <c r="BH55" s="516"/>
      <c r="BI55" s="1171">
        <v>11</v>
      </c>
    </row>
    <row customHeight="1" ht="11.549999999999999">
      <c r="A56" s="1379" t="s">
        <v>399</v>
      </c>
      <c r="B56" s="1379" t="s">
        <v>400</v>
      </c>
      <c r="C56" s="1379" t="s">
        <v>401</v>
      </c>
      <c r="D56" s="1379" t="s">
        <v>668</v>
      </c>
      <c r="E56" s="2275"/>
      <c r="F56" s="2275"/>
      <c r="G56" s="2275"/>
      <c r="H56" s="2275"/>
      <c r="I56" s="2302"/>
      <c r="J56" s="2302"/>
      <c r="K56" s="2272"/>
      <c r="L56" s="1380"/>
      <c r="P56" s="2273"/>
      <c r="Q56" s="2273"/>
      <c r="R56" s="373"/>
      <c r="S56" s="2359"/>
      <c r="T56" s="2378"/>
      <c r="U56" s="316"/>
      <c r="V56" s="1409"/>
      <c r="W56" s="1410" t="str">
        <f>Z52&amp;"-"&amp;AB52</f>
        <v>-</v>
      </c>
      <c r="X56" s="1409"/>
      <c r="Y56" s="1410" t="str">
        <f>AB52&amp;"-"&amp;AD52</f>
        <v>-да</v>
      </c>
      <c r="Z56" s="1409"/>
      <c r="AA56" s="1409"/>
      <c r="AB56" s="1409"/>
      <c r="AC56" s="1409"/>
      <c r="AD56" s="2128"/>
      <c r="AE56" s="328"/>
      <c r="AF56" s="330"/>
      <c r="AG56" s="432" t="s">
        <v>658</v>
      </c>
      <c r="AH56" s="1409"/>
      <c r="AI56" s="1409"/>
      <c r="AJ56" s="1409"/>
      <c r="AK56" s="1409"/>
      <c r="AL56" s="1409"/>
      <c r="AM56" s="1409"/>
      <c r="AN56" s="1409"/>
      <c r="AO56" s="1409"/>
      <c r="AP56" s="1409"/>
      <c r="AQ56" s="1409"/>
      <c r="AR56" s="1409"/>
      <c r="AS56" s="1409"/>
      <c r="AT56" s="1409"/>
      <c r="AU56" s="1410" t="str">
        <f>AX52&amp;"-"&amp;AZ52</f>
        <v>-</v>
      </c>
      <c r="AV56" s="1409"/>
      <c r="AW56" s="1410" t="str">
        <f>AZ52&amp;"-"&amp;BB52</f>
        <v>-</v>
      </c>
      <c r="AX56" s="1409"/>
      <c r="AY56" s="1409"/>
      <c r="AZ56" s="1409"/>
      <c r="BA56" s="1409"/>
      <c r="BB56" s="1412" t="str">
        <f>BE52&amp;"-"&amp;BG52</f>
        <v>-</v>
      </c>
      <c r="BC56" s="2270"/>
      <c r="BE56" s="516"/>
      <c r="BF56" s="516" t="str">
        <f>IF(T56="","",T56)</f>
        <v/>
      </c>
      <c r="BG56" s="516"/>
      <c r="BH56" s="516"/>
      <c r="BI56" s="1171">
        <v>11</v>
      </c>
    </row>
    <row customHeight="1" ht="11.549999999999999">
      <c r="A57" s="1379" t="s">
        <v>399</v>
      </c>
      <c r="B57" s="1379" t="s">
        <v>400</v>
      </c>
      <c r="C57" s="1379" t="s">
        <v>401</v>
      </c>
      <c r="D57" s="1379" t="s">
        <v>668</v>
      </c>
      <c r="E57" s="2275"/>
      <c r="F57" s="2275"/>
      <c r="G57" s="2275"/>
      <c r="H57" s="2275"/>
      <c r="I57" s="2302"/>
      <c r="J57" s="2272"/>
      <c r="K57" s="1379"/>
      <c r="L57" s="1380"/>
      <c r="P57" s="2273"/>
      <c r="Q57" s="2273"/>
      <c r="R57" s="372"/>
      <c r="S57" s="1294"/>
      <c r="T57" s="303" t="s">
        <v>617</v>
      </c>
      <c r="U57" s="383"/>
      <c r="V57" s="383"/>
      <c r="W57" s="383"/>
      <c r="X57" s="383"/>
      <c r="Y57" s="383"/>
      <c r="Z57" s="383"/>
      <c r="AA57" s="383"/>
      <c r="AB57" s="383"/>
      <c r="AC57" s="340"/>
      <c r="AD57" s="1521"/>
      <c r="AE57" s="383"/>
      <c r="AF57" s="383"/>
      <c r="AG57" s="383"/>
      <c r="AH57" s="383"/>
      <c r="AI57" s="383"/>
      <c r="AJ57" s="383"/>
      <c r="AK57" s="383"/>
      <c r="AL57" s="383"/>
      <c r="AM57" s="383"/>
      <c r="AN57" s="383"/>
      <c r="AO57" s="383"/>
      <c r="AP57" s="383"/>
      <c r="AQ57" s="383"/>
      <c r="AR57" s="383"/>
      <c r="AS57" s="383"/>
      <c r="AT57" s="383"/>
      <c r="AU57" s="383"/>
      <c r="AV57" s="383"/>
      <c r="AW57" s="383"/>
      <c r="AX57" s="383"/>
      <c r="AY57" s="383"/>
      <c r="AZ57" s="383"/>
      <c r="BA57" s="383"/>
      <c r="BB57" s="340"/>
      <c r="BC57" s="2271"/>
      <c r="BE57" s="516"/>
      <c r="BF57" s="516" t="str">
        <f>IF(T57="","",T57)</f>
        <v>Добавить строку</v>
      </c>
      <c r="BG57" s="516"/>
      <c r="BH57" s="516"/>
      <c r="BI57" s="1171">
        <v>11</v>
      </c>
    </row>
    <row s="1658" customFormat="1" customHeight="1" ht="0">
      <c r="A58" s="1359" t="s">
        <v>399</v>
      </c>
      <c r="B58" s="1359" t="s">
        <v>400</v>
      </c>
      <c r="C58" s="1359" t="s">
        <v>401</v>
      </c>
      <c r="D58" s="1359" t="s">
        <v>668</v>
      </c>
      <c r="E58" s="2275"/>
      <c r="F58" s="2275"/>
      <c r="G58" s="2275"/>
      <c r="H58" s="2275"/>
      <c r="I58" s="2272"/>
      <c r="J58" s="1359"/>
      <c r="K58" s="1359"/>
      <c r="L58" s="1362"/>
      <c r="M58" s="526"/>
      <c r="N58" s="526"/>
      <c r="O58" s="526"/>
      <c r="P58" s="2273"/>
      <c r="Q58" s="1478"/>
      <c r="R58" s="372"/>
      <c r="S58" s="1402"/>
      <c r="T58" s="1403"/>
      <c r="U58" s="1404"/>
      <c r="V58" s="1404"/>
      <c r="W58" s="1404"/>
      <c r="X58" s="1404"/>
      <c r="Y58" s="1404"/>
      <c r="Z58" s="1404"/>
      <c r="AA58" s="1404"/>
      <c r="AB58" s="1404"/>
      <c r="AC58" s="1404"/>
      <c r="AD58" s="1404"/>
      <c r="AE58" s="1404"/>
      <c r="AF58" s="1404"/>
      <c r="AG58" s="1404"/>
      <c r="AH58" s="1404"/>
      <c r="AI58" s="1404"/>
      <c r="AJ58" s="1404"/>
      <c r="AK58" s="1404"/>
      <c r="AL58" s="1404"/>
      <c r="AM58" s="1404"/>
      <c r="AN58" s="1404"/>
      <c r="AO58" s="1404"/>
      <c r="AP58" s="1404"/>
      <c r="AQ58" s="1404"/>
      <c r="AR58" s="1404"/>
      <c r="AS58" s="1404"/>
      <c r="AT58" s="1404"/>
      <c r="AU58" s="1404"/>
      <c r="AV58" s="1404"/>
      <c r="AW58" s="1404"/>
      <c r="AX58" s="1404"/>
      <c r="AY58" s="1404"/>
      <c r="AZ58" s="1404"/>
      <c r="BA58" s="1404"/>
      <c r="BB58" s="1404"/>
      <c r="BC58" s="1405"/>
      <c r="BE58" s="516"/>
      <c r="BF58" s="516" t="str">
        <f>IF(T58="","",T58)</f>
        <v/>
      </c>
      <c r="BG58" s="516"/>
      <c r="BH58" s="516"/>
      <c r="BI58" s="527">
        <v>0</v>
      </c>
    </row>
    <row s="1658" customFormat="1" customHeight="1" ht="0">
      <c r="A59" s="1359" t="s">
        <v>399</v>
      </c>
      <c r="B59" s="1359" t="s">
        <v>400</v>
      </c>
      <c r="C59" s="1359" t="s">
        <v>401</v>
      </c>
      <c r="D59" s="1359" t="s">
        <v>668</v>
      </c>
      <c r="E59" s="2275"/>
      <c r="F59" s="2275"/>
      <c r="G59" s="2275"/>
      <c r="H59" s="2274"/>
      <c r="I59" s="1359"/>
      <c r="J59" s="1359"/>
      <c r="K59" s="1359"/>
      <c r="L59" s="1362"/>
      <c r="M59" s="1331"/>
      <c r="N59" s="1331"/>
      <c r="O59" s="534"/>
      <c r="P59" s="396"/>
      <c r="Q59" s="1360"/>
      <c r="R59" s="1417"/>
      <c r="S59" s="1402"/>
      <c r="T59" s="1403"/>
      <c r="U59" s="1404"/>
      <c r="V59" s="1404"/>
      <c r="W59" s="1404"/>
      <c r="X59" s="1404"/>
      <c r="Y59" s="1404"/>
      <c r="Z59" s="1404"/>
      <c r="AA59" s="1404"/>
      <c r="AB59" s="1404"/>
      <c r="AC59" s="1404"/>
      <c r="AD59" s="1404"/>
      <c r="AE59" s="1404"/>
      <c r="AF59" s="1404"/>
      <c r="AG59" s="1404"/>
      <c r="AH59" s="1404"/>
      <c r="AI59" s="1404"/>
      <c r="AJ59" s="1404"/>
      <c r="AK59" s="1404"/>
      <c r="AL59" s="1404"/>
      <c r="AM59" s="1404"/>
      <c r="AN59" s="1404"/>
      <c r="AO59" s="1404"/>
      <c r="AP59" s="1404"/>
      <c r="AQ59" s="1404"/>
      <c r="AR59" s="1404"/>
      <c r="AS59" s="1404"/>
      <c r="AT59" s="1404"/>
      <c r="AU59" s="1404"/>
      <c r="AV59" s="1404"/>
      <c r="AW59" s="1404"/>
      <c r="AX59" s="1404"/>
      <c r="AY59" s="1404"/>
      <c r="AZ59" s="1404"/>
      <c r="BA59" s="1404"/>
      <c r="BB59" s="1404"/>
      <c r="BC59" s="1405"/>
      <c r="BE59" s="516"/>
      <c r="BF59" s="516" t="str">
        <f>IF(T59="","",T59)</f>
        <v/>
      </c>
      <c r="BG59" s="516"/>
      <c r="BH59" s="516"/>
      <c r="BI59" s="527">
        <v>0</v>
      </c>
    </row>
    <row s="1658" customFormat="1" customHeight="1" ht="0">
      <c r="A60" s="1359" t="s">
        <v>399</v>
      </c>
      <c r="B60" s="1359" t="s">
        <v>400</v>
      </c>
      <c r="C60" s="1359" t="s">
        <v>401</v>
      </c>
      <c r="D60" s="1330"/>
      <c r="E60" s="2275"/>
      <c r="F60" s="2275"/>
      <c r="G60" s="2274"/>
      <c r="H60" s="1330"/>
      <c r="I60" s="1330"/>
      <c r="J60" s="1330"/>
      <c r="K60" s="1330"/>
      <c r="L60" s="1480"/>
      <c r="M60" s="1331"/>
      <c r="N60" s="1331"/>
      <c r="P60" s="1332"/>
      <c r="Q60" s="1333"/>
      <c r="R60" s="1332"/>
      <c r="S60" s="1338"/>
      <c r="T60" s="1341"/>
      <c r="U60" s="1340"/>
      <c r="V60" s="1340"/>
      <c r="W60" s="1340"/>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340"/>
      <c r="AS60" s="1340"/>
      <c r="AT60" s="1340"/>
      <c r="AU60" s="1340"/>
      <c r="AV60" s="1340"/>
      <c r="AW60" s="1340"/>
      <c r="AX60" s="1340"/>
      <c r="AY60" s="1340"/>
      <c r="AZ60" s="1340"/>
      <c r="BA60" s="1340"/>
      <c r="BB60" s="1340"/>
      <c r="BC60" s="1340"/>
      <c r="BE60" s="805"/>
      <c r="BF60" s="805" t="str">
        <f>IF(T60="","",T60)</f>
        <v/>
      </c>
      <c r="BG60" s="805"/>
      <c r="BH60" s="805"/>
      <c r="BI60" s="534">
        <v>0</v>
      </c>
    </row>
    <row s="1658" customFormat="1" customHeight="1" ht="0">
      <c r="A61" s="1359" t="s">
        <v>399</v>
      </c>
      <c r="B61" s="1359" t="s">
        <v>400</v>
      </c>
      <c r="C61" s="1330"/>
      <c r="D61" s="1330"/>
      <c r="E61" s="2275"/>
      <c r="F61" s="2274"/>
      <c r="G61" s="1330"/>
      <c r="H61" s="1330"/>
      <c r="I61" s="1330"/>
      <c r="J61" s="1330"/>
      <c r="K61" s="1330"/>
      <c r="L61" s="1480"/>
      <c r="M61" s="1337"/>
      <c r="N61" s="1337"/>
      <c r="P61" s="1332"/>
      <c r="Q61" s="1333"/>
      <c r="R61" s="1332"/>
      <c r="S61" s="1338"/>
      <c r="T61" s="1341" t="s">
        <v>269</v>
      </c>
      <c r="U61" s="1340"/>
      <c r="V61" s="1340"/>
      <c r="W61" s="1340"/>
      <c r="X61" s="1340"/>
      <c r="Y61" s="1340"/>
      <c r="Z61" s="1340"/>
      <c r="AA61" s="1340"/>
      <c r="AB61" s="1340"/>
      <c r="AC61" s="1340"/>
      <c r="AD61" s="1340"/>
      <c r="AE61" s="1340"/>
      <c r="AF61" s="1340"/>
      <c r="AG61" s="1340"/>
      <c r="AH61" s="1340"/>
      <c r="AI61" s="1340"/>
      <c r="AJ61" s="1340"/>
      <c r="AK61" s="1340"/>
      <c r="AL61" s="1340"/>
      <c r="AM61" s="1340"/>
      <c r="AN61" s="1340"/>
      <c r="AO61" s="1340"/>
      <c r="AP61" s="1340"/>
      <c r="AQ61" s="1340"/>
      <c r="AR61" s="1340"/>
      <c r="AS61" s="1340"/>
      <c r="AT61" s="1340"/>
      <c r="AU61" s="1340"/>
      <c r="AV61" s="1340"/>
      <c r="AW61" s="1340"/>
      <c r="AX61" s="1340"/>
      <c r="AY61" s="1340"/>
      <c r="AZ61" s="1340"/>
      <c r="BA61" s="1340"/>
      <c r="BB61" s="1340"/>
      <c r="BC61" s="1340"/>
      <c r="BE61" s="805"/>
      <c r="BF61" s="805" t="str">
        <f>IF(T61="","",T61)</f>
        <v>Добавить централизованную систему для дифференциации</v>
      </c>
      <c r="BG61" s="805"/>
      <c r="BH61" s="805"/>
      <c r="BI61" s="534">
        <v>0</v>
      </c>
    </row>
    <row s="1658" customFormat="1" customHeight="1" ht="0">
      <c r="A62" s="1359" t="s">
        <v>399</v>
      </c>
      <c r="B62" s="1359"/>
      <c r="C62" s="1359"/>
      <c r="D62" s="1359"/>
      <c r="E62" s="2274"/>
      <c r="F62" s="1359"/>
      <c r="G62" s="1359"/>
      <c r="H62" s="1359"/>
      <c r="I62" s="1359"/>
      <c r="J62" s="1359"/>
      <c r="K62" s="1359"/>
      <c r="L62" s="1362"/>
      <c r="M62" s="1337"/>
      <c r="N62" s="1337"/>
      <c r="O62" s="534"/>
      <c r="P62" s="396"/>
      <c r="Q62" s="1360"/>
      <c r="R62" s="396"/>
      <c r="S62" s="1338"/>
      <c r="T62" s="1341" t="s">
        <v>330</v>
      </c>
      <c r="U62" s="1340"/>
      <c r="V62" s="1340"/>
      <c r="W62" s="1340"/>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340"/>
      <c r="AS62" s="1340"/>
      <c r="AT62" s="1340"/>
      <c r="AU62" s="1340"/>
      <c r="AV62" s="1340"/>
      <c r="AW62" s="1340"/>
      <c r="AX62" s="1340"/>
      <c r="AY62" s="1340"/>
      <c r="AZ62" s="1340"/>
      <c r="BA62" s="1340"/>
      <c r="BB62" s="1340"/>
      <c r="BC62" s="1340"/>
      <c r="BE62" s="516"/>
      <c r="BF62" s="516" t="str">
        <f>IF(T62="","",T62)</f>
        <v>Добавить территорию для дифференциации</v>
      </c>
      <c r="BG62" s="516"/>
      <c r="BH62" s="516"/>
      <c r="BI62" s="527">
        <v>0</v>
      </c>
    </row>
    <row s="1658" customFormat="1" customHeight="1" ht="0">
      <c r="A63" s="1330"/>
      <c r="B63" s="1330"/>
      <c r="C63" s="1330"/>
      <c r="D63" s="1330"/>
      <c r="E63" s="1359"/>
      <c r="F63" s="1330"/>
      <c r="G63" s="1330"/>
      <c r="H63" s="1330"/>
      <c r="I63" s="1330"/>
      <c r="J63" s="1330"/>
      <c r="K63" s="1330"/>
      <c r="L63" s="1480"/>
      <c r="M63" s="1337"/>
      <c r="N63" s="1337"/>
      <c r="P63" s="1332"/>
      <c r="Q63" s="1333"/>
      <c r="R63" s="1332"/>
      <c r="S63" s="1338"/>
      <c r="T63" s="1341" t="s">
        <v>356</v>
      </c>
      <c r="U63" s="1340"/>
      <c r="V63" s="1340"/>
      <c r="W63" s="1340"/>
      <c r="X63" s="1340"/>
      <c r="Y63" s="1340"/>
      <c r="Z63" s="1340"/>
      <c r="AA63" s="1340"/>
      <c r="AB63" s="1340"/>
      <c r="AC63" s="1340"/>
      <c r="AD63" s="1340"/>
      <c r="AE63" s="1340"/>
      <c r="AF63" s="1340"/>
      <c r="AG63" s="1340"/>
      <c r="AH63" s="1340"/>
      <c r="AI63" s="1340"/>
      <c r="AJ63" s="1340"/>
      <c r="AK63" s="1340"/>
      <c r="AL63" s="1340"/>
      <c r="AM63" s="1340"/>
      <c r="AN63" s="1340"/>
      <c r="AO63" s="1340"/>
      <c r="AP63" s="1340"/>
      <c r="AQ63" s="1340"/>
      <c r="AR63" s="1340"/>
      <c r="AS63" s="1340"/>
      <c r="AT63" s="1340"/>
      <c r="AU63" s="1340"/>
      <c r="AV63" s="1340"/>
      <c r="AW63" s="1340"/>
      <c r="AX63" s="1340"/>
      <c r="AY63" s="1340"/>
      <c r="AZ63" s="1340"/>
      <c r="BA63" s="1340"/>
      <c r="BB63" s="1340"/>
      <c r="BC63" s="1340"/>
      <c r="BE63" s="805"/>
      <c r="BF63" s="805" t="str">
        <f>IF(T63="","",T63)</f>
        <v>Добавить наименование тарифа</v>
      </c>
      <c r="BG63" s="805"/>
      <c r="BH63" s="805"/>
      <c r="BI63" s="534">
        <v>0</v>
      </c>
    </row>
    <row customHeight="1" ht="11.549999999999999">
      <c r="M64" s="1176"/>
      <c r="N64" s="1176"/>
      <c r="O64" s="553"/>
      <c r="P64" s="1176"/>
      <c r="Q64" s="1176"/>
      <c r="R64" s="1171"/>
      <c r="S64" s="1171"/>
      <c r="BD64" s="1171"/>
      <c r="BE64" s="1171"/>
      <c r="BF64" s="1171"/>
      <c r="BG64" s="1171"/>
      <c r="BH64" s="1171"/>
      <c r="BI64" s="1171">
        <v>11</v>
      </c>
    </row>
    <row customHeight="1" ht="19.95">
      <c r="O65" s="553"/>
      <c r="S65" s="1269"/>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71">
        <v>19</v>
      </c>
    </row>
    <row customHeight="1" ht="14.699999999999998">
      <c r="O66" s="553"/>
      <c r="T66" s="1465"/>
      <c r="U66" s="1465"/>
      <c r="V66" s="1465"/>
      <c r="W66" s="1465"/>
      <c r="X66" s="1465"/>
      <c r="Y66" s="1465"/>
      <c r="Z66" s="1465"/>
      <c r="AA66" s="1465"/>
      <c r="AB66" s="1465"/>
      <c r="AC66" s="1465"/>
      <c r="AD66" s="1465"/>
      <c r="AE66" s="1465"/>
      <c r="AF66" s="1465"/>
      <c r="AG66" s="1465"/>
      <c r="AH66" s="1465"/>
      <c r="AI66" s="1465"/>
      <c r="AJ66" s="1465"/>
      <c r="AK66" s="1465"/>
      <c r="AL66" s="1465"/>
      <c r="AM66" s="1465"/>
      <c r="AN66" s="1465"/>
      <c r="AO66" s="1465"/>
      <c r="AP66" s="1465"/>
      <c r="AQ66" s="1465"/>
      <c r="AR66" s="1465"/>
      <c r="AS66" s="1465"/>
      <c r="AT66" s="1465"/>
      <c r="AU66" s="1465"/>
      <c r="AV66" s="1465"/>
      <c r="AW66" s="1465"/>
      <c r="AX66" s="1465"/>
      <c r="AY66" s="1465"/>
      <c r="AZ66" s="1465"/>
      <c r="BA66" s="1465"/>
      <c r="BB66" s="1465"/>
      <c r="BC66" s="1465"/>
      <c r="BI66" s="1171">
        <v>14</v>
      </c>
    </row>
    <row customHeight="1" ht="19.95">
      <c r="O67" s="553"/>
      <c r="S67" s="1269"/>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71">
        <v>19</v>
      </c>
    </row>
    <row customHeight="1" ht="14.699999999999998">
      <c r="O68" s="553"/>
      <c r="BI68" s="1171">
        <v>14</v>
      </c>
    </row>
    <row customHeight="1" ht="14.25" hidden="1">
      <c r="A69" s="1176" t="s">
        <v>85</v>
      </c>
      <c r="B69" s="1176">
        <v>0</v>
      </c>
      <c r="C69" s="1176">
        <v>0</v>
      </c>
      <c r="D69" s="1176">
        <v>0</v>
      </c>
      <c r="E69" s="1176">
        <v>0</v>
      </c>
      <c r="F69" s="1176">
        <v>0</v>
      </c>
      <c r="G69" s="1176">
        <v>0</v>
      </c>
      <c r="H69" s="1176">
        <v>0</v>
      </c>
      <c r="I69" s="1176">
        <v>0</v>
      </c>
      <c r="J69" s="1176">
        <v>0</v>
      </c>
      <c r="K69" s="1176">
        <v>0</v>
      </c>
      <c r="L69" s="1477">
        <v>0</v>
      </c>
      <c r="M69" s="1378">
        <v>0</v>
      </c>
      <c r="N69" s="1378">
        <v>0</v>
      </c>
      <c r="O69" s="1378">
        <v>0</v>
      </c>
      <c r="P69" s="1378">
        <v>0</v>
      </c>
      <c r="Q69" s="1387">
        <v>0</v>
      </c>
      <c r="R69" s="360">
        <v>3</v>
      </c>
      <c r="S69" s="597">
        <v>12</v>
      </c>
      <c r="T69" s="1171">
        <v>31</v>
      </c>
      <c r="U69" s="1171">
        <v>0</v>
      </c>
      <c r="V69" s="1171">
        <v>0</v>
      </c>
      <c r="W69" s="1171">
        <v>0</v>
      </c>
      <c r="X69" s="1171">
        <v>0</v>
      </c>
      <c r="Y69" s="1171">
        <v>0</v>
      </c>
      <c r="Z69" s="1171">
        <v>0</v>
      </c>
      <c r="AA69" s="1171">
        <v>0</v>
      </c>
      <c r="AB69" s="1171">
        <v>0</v>
      </c>
      <c r="AC69" s="1171">
        <v>0</v>
      </c>
      <c r="AD69" s="1171">
        <v>3</v>
      </c>
      <c r="AE69" s="1171">
        <v>3</v>
      </c>
      <c r="AF69" s="1171">
        <v>3</v>
      </c>
      <c r="AG69" s="1171">
        <v>24</v>
      </c>
      <c r="AH69" s="1171">
        <v>3</v>
      </c>
      <c r="AI69" s="1171">
        <v>3</v>
      </c>
      <c r="AJ69" s="1171">
        <v>3</v>
      </c>
      <c r="AK69" s="1171">
        <v>24</v>
      </c>
      <c r="AL69" s="1171">
        <v>3</v>
      </c>
      <c r="AM69" s="1171">
        <v>3</v>
      </c>
      <c r="AN69" s="1171">
        <v>3</v>
      </c>
      <c r="AO69" s="1171">
        <v>18</v>
      </c>
      <c r="AP69" s="1171">
        <v>3</v>
      </c>
      <c r="AQ69" s="1171">
        <v>3</v>
      </c>
      <c r="AR69" s="1171">
        <v>3</v>
      </c>
      <c r="AS69" s="1171">
        <v>18</v>
      </c>
      <c r="AT69" s="1171">
        <v>21</v>
      </c>
      <c r="AU69" s="1171">
        <v>21</v>
      </c>
      <c r="AV69" s="1171">
        <v>21</v>
      </c>
      <c r="AW69" s="1171">
        <v>21</v>
      </c>
      <c r="AX69" s="1171">
        <v>11</v>
      </c>
      <c r="AY69" s="1171">
        <v>3</v>
      </c>
      <c r="AZ69" s="1171">
        <v>11</v>
      </c>
      <c r="BA69" s="1171">
        <v>0</v>
      </c>
      <c r="BB69" s="1171">
        <v>4</v>
      </c>
      <c r="BC69" s="1171">
        <v>115</v>
      </c>
      <c r="BD69" s="527">
        <v>10</v>
      </c>
      <c r="BE69" s="527">
        <v>10</v>
      </c>
      <c r="BF69" s="527">
        <v>10</v>
      </c>
      <c r="BG69" s="527">
        <v>10</v>
      </c>
      <c r="BH69" s="527">
        <v>10</v>
      </c>
      <c r="BI69" s="117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2348E-0918-15AE-7332-987DFD1D09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4" style="1651" width="24.7109375" hidden="1" customWidth="1"/>
    <col min="25" max="25" style="1651" width="11.7109375" hidden="1" customWidth="1"/>
    <col min="26" max="26" style="1651" width="3.7109375" hidden="1" customWidth="1"/>
    <col min="27" max="27" style="1651" width="11.7109375" hidden="1" customWidth="1"/>
    <col min="28" max="28" style="1651" width="8.57421875" hidden="1" customWidth="1"/>
    <col min="29" max="29" style="1651" width="24.7109375" customWidth="1"/>
    <col min="30" max="31" style="1651" width="24.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22.5" hidden="1">
      <c r="X1" s="343"/>
      <c r="Y1" s="343"/>
      <c r="AE1" s="343"/>
      <c r="AF1" s="343"/>
      <c r="AQ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509">
        <f>INDEX(PT_DIFFERENTIATION_NUM_NTAR,MATCH(A2,PT_DIFFERENTIATION_NTAR_ID,0))</f>
      </c>
      <c r="T2" s="314" t="s">
        <v>192</v>
      </c>
      <c r="U2" s="316"/>
      <c r="V2" s="2258"/>
      <c r="W2" s="2259"/>
      <c r="X2" s="2259"/>
      <c r="Y2" s="2259"/>
      <c r="Z2" s="2259"/>
      <c r="AA2" s="2259"/>
      <c r="AB2" s="2260"/>
      <c r="AC2" s="2258">
        <f>INDEX(PT_DIFFERENTIATION_NTAR,MATCH(A2,PT_DIFFERENTIATION_NTAR_ID,0))</f>
      </c>
      <c r="AD2" s="2259"/>
      <c r="AE2" s="2259"/>
      <c r="AF2" s="2259"/>
      <c r="AG2" s="2259"/>
      <c r="AH2" s="2259"/>
      <c r="AI2" s="2259"/>
      <c r="AJ2" s="2260"/>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6"/>
      <c r="AN2" s="516" t="str">
        <f>IF(T2="","",T2)</f>
        <v>Наименование тарифа</v>
      </c>
      <c r="AO2" s="516"/>
      <c r="AP2" s="516"/>
      <c r="AQ2" s="1171">
        <v>0</v>
      </c>
    </row>
    <row customHeight="1" ht="23.25" hidden="1">
      <c r="A3" s="1379"/>
      <c r="B3" s="1379"/>
      <c r="C3" s="1379"/>
      <c r="D3" s="1379"/>
      <c r="E3" s="2275"/>
      <c r="F3" s="2274">
        <v>1</v>
      </c>
      <c r="G3" s="1379"/>
      <c r="H3" s="1379"/>
      <c r="I3" s="1379"/>
      <c r="J3" s="1379"/>
      <c r="K3" s="1379"/>
      <c r="L3" s="1380"/>
      <c r="M3" s="1381"/>
      <c r="N3" s="1381"/>
      <c r="O3" s="1381"/>
      <c r="P3" s="1503"/>
      <c r="Q3" s="368"/>
      <c r="R3" s="369"/>
      <c r="S3" s="1509">
        <f>INDEX(PT_DIFFERENTIATION_NUM_TER,MATCH(B3,PT_DIFFERENTIATION_TER_ID,0))</f>
      </c>
      <c r="T3" s="324" t="s">
        <v>550</v>
      </c>
      <c r="U3" s="316"/>
      <c r="V3" s="2258"/>
      <c r="W3" s="2259"/>
      <c r="X3" s="2259"/>
      <c r="Y3" s="2259"/>
      <c r="Z3" s="2259"/>
      <c r="AA3" s="2259"/>
      <c r="AB3" s="2260"/>
      <c r="AC3" s="2258">
        <f>INDEX(PT_DIFFERENTIATION_TER,MATCH(B3,PT_DIFFERENTIATION_TER_ID,0))</f>
      </c>
      <c r="AD3" s="2259"/>
      <c r="AE3" s="2259"/>
      <c r="AF3" s="2259"/>
      <c r="AG3" s="2259"/>
      <c r="AH3" s="2259"/>
      <c r="AI3" s="2259"/>
      <c r="AJ3" s="2260"/>
      <c r="AK3" s="1274" t="s">
        <v>551</v>
      </c>
      <c r="AM3" s="516"/>
      <c r="AN3" s="516" t="str">
        <f>IF(T3="","",T3)</f>
        <v>Территория действия тарифа</v>
      </c>
      <c r="AO3" s="516"/>
      <c r="AP3" s="516"/>
      <c r="AQ3" s="1171">
        <v>0</v>
      </c>
    </row>
    <row customHeight="1" ht="23.25" hidden="1">
      <c r="A4" s="1379"/>
      <c r="B4" s="1379"/>
      <c r="C4" s="1379"/>
      <c r="D4" s="1379"/>
      <c r="E4" s="2275"/>
      <c r="F4" s="2275"/>
      <c r="G4" s="2274">
        <v>1</v>
      </c>
      <c r="H4" s="1379"/>
      <c r="I4" s="1379"/>
      <c r="J4" s="1379"/>
      <c r="K4" s="1379"/>
      <c r="L4" s="1380"/>
      <c r="M4" s="1381"/>
      <c r="N4" s="1381"/>
      <c r="O4" s="1381"/>
      <c r="P4" s="370"/>
      <c r="Q4" s="368"/>
      <c r="R4" s="369"/>
      <c r="S4" s="1509">
        <f>INDEX(PT_DIFFERENTIATION_NUM_CS,MATCH(C4,PT_DIFFERENTIATION_CS_ID,0))</f>
      </c>
      <c r="T4" s="325" t="s">
        <v>669</v>
      </c>
      <c r="U4" s="316"/>
      <c r="V4" s="2258"/>
      <c r="W4" s="2259"/>
      <c r="X4" s="2259"/>
      <c r="Y4" s="2259"/>
      <c r="Z4" s="2259"/>
      <c r="AA4" s="2259"/>
      <c r="AB4" s="2260"/>
      <c r="AC4" s="2258">
        <f>INDEX(PT_DIFFERENTIATION_CS,MATCH(C4,PT_DIFFERENTIATION_CS_ID,0))</f>
      </c>
      <c r="AD4" s="2259"/>
      <c r="AE4" s="2259"/>
      <c r="AF4" s="2259"/>
      <c r="AG4" s="2259"/>
      <c r="AH4" s="2259"/>
      <c r="AI4" s="2259"/>
      <c r="AJ4" s="2260"/>
      <c r="AK4" s="1274" t="s">
        <v>670</v>
      </c>
      <c r="AM4" s="516"/>
      <c r="AN4" s="516" t="str">
        <f>IF(T4="","",T4)</f>
        <v>Наименование централизованной системы водоотведения</v>
      </c>
      <c r="AO4" s="516"/>
      <c r="AP4" s="516"/>
      <c r="AQ4" s="1171">
        <v>0</v>
      </c>
    </row>
    <row customHeight="1" ht="23.25" hidden="1">
      <c r="A5" s="1379"/>
      <c r="B5" s="1379"/>
      <c r="C5" s="1379"/>
      <c r="D5" s="1379"/>
      <c r="E5" s="2275"/>
      <c r="F5" s="2275"/>
      <c r="G5" s="2275"/>
      <c r="H5" s="2275"/>
      <c r="I5" s="2272">
        <f>S4&amp;".1"</f>
      </c>
      <c r="J5" s="1379"/>
      <c r="K5" s="1379"/>
      <c r="L5" s="1380"/>
      <c r="P5" s="2273">
        <v>1</v>
      </c>
      <c r="Q5" s="1497"/>
      <c r="R5" s="372"/>
      <c r="S5" s="1509">
        <f>$I5</f>
      </c>
      <c r="T5" s="301" t="s">
        <v>636</v>
      </c>
      <c r="U5" s="316"/>
      <c r="V5" s="2366"/>
      <c r="W5" s="2367"/>
      <c r="X5" s="2367"/>
      <c r="Y5" s="2367"/>
      <c r="Z5" s="2367"/>
      <c r="AA5" s="2367"/>
      <c r="AB5" s="2368"/>
      <c r="AC5" s="2369"/>
      <c r="AD5" s="2370"/>
      <c r="AE5" s="2370"/>
      <c r="AF5" s="2370"/>
      <c r="AG5" s="2370"/>
      <c r="AH5" s="2370"/>
      <c r="AI5" s="2370"/>
      <c r="AJ5" s="2371"/>
      <c r="AK5" s="1274" t="s">
        <v>637</v>
      </c>
      <c r="AM5" s="516"/>
      <c r="AN5" s="516" t="str">
        <f>IF(T5="","",T5)</f>
        <v>Наименование признака дифференциации</v>
      </c>
      <c r="AO5" s="516"/>
      <c r="AP5" s="516"/>
      <c r="AQ5" s="1171">
        <v>0</v>
      </c>
    </row>
    <row customHeight="1" ht="23.25" hidden="1">
      <c r="A6" s="1379"/>
      <c r="B6" s="1379"/>
      <c r="C6" s="1379"/>
      <c r="D6" s="1379"/>
      <c r="E6" s="2275"/>
      <c r="F6" s="2275"/>
      <c r="G6" s="2275"/>
      <c r="H6" s="2275"/>
      <c r="I6" s="2302"/>
      <c r="J6" s="2272">
        <f>I5&amp;".1"</f>
      </c>
      <c r="K6" s="1379"/>
      <c r="L6" s="1380" t="s">
        <v>559</v>
      </c>
      <c r="P6" s="2273"/>
      <c r="Q6" s="2273">
        <v>1</v>
      </c>
      <c r="R6" s="373"/>
      <c r="S6" s="1509">
        <f>$J6</f>
      </c>
      <c r="T6" s="302" t="s">
        <v>560</v>
      </c>
      <c r="U6" s="316"/>
      <c r="V6" s="2261"/>
      <c r="W6" s="2262"/>
      <c r="X6" s="2262"/>
      <c r="Y6" s="2262"/>
      <c r="Z6" s="2262"/>
      <c r="AA6" s="2262"/>
      <c r="AB6" s="2263"/>
      <c r="AC6" s="2261"/>
      <c r="AD6" s="2262"/>
      <c r="AE6" s="2262"/>
      <c r="AF6" s="2262"/>
      <c r="AG6" s="2262"/>
      <c r="AH6" s="2262"/>
      <c r="AI6" s="2262"/>
      <c r="AJ6" s="2263"/>
      <c r="AK6" s="1323" t="s">
        <v>638</v>
      </c>
      <c r="AM6" s="516"/>
      <c r="AN6" s="516" t="str">
        <f>IF(T6="","",T6)</f>
        <v>Группа потребителей</v>
      </c>
      <c r="AO6" s="516"/>
      <c r="AP6" s="516"/>
      <c r="AQ6" s="1171">
        <v>0</v>
      </c>
    </row>
    <row customHeight="1" ht="23.25" hidden="1">
      <c r="A7" s="1379"/>
      <c r="B7" s="1379"/>
      <c r="C7" s="1379"/>
      <c r="D7" s="1379"/>
      <c r="E7" s="2275"/>
      <c r="F7" s="2275"/>
      <c r="G7" s="2275"/>
      <c r="H7" s="2275"/>
      <c r="I7" s="2302"/>
      <c r="J7" s="2302"/>
      <c r="K7" s="2272">
        <f>J6&amp;".1"</f>
      </c>
      <c r="L7" s="1380"/>
      <c r="P7" s="2273"/>
      <c r="Q7" s="2273"/>
      <c r="R7" s="373">
        <v>1</v>
      </c>
      <c r="S7" s="1509">
        <f>$K7</f>
      </c>
      <c r="T7" s="1453"/>
      <c r="U7" s="316"/>
      <c r="V7" s="767"/>
      <c r="W7" s="767"/>
      <c r="X7" s="1273"/>
      <c r="Y7" s="2281"/>
      <c r="Z7" s="2123" t="s">
        <v>64</v>
      </c>
      <c r="AA7" s="2281"/>
      <c r="AB7" s="2123" t="s">
        <v>64</v>
      </c>
      <c r="AC7" s="767"/>
      <c r="AD7" s="767"/>
      <c r="AE7" s="1273"/>
      <c r="AF7" s="2281"/>
      <c r="AG7" s="2123" t="s">
        <v>64</v>
      </c>
      <c r="AH7" s="2303"/>
      <c r="AI7" s="2123" t="s">
        <v>64</v>
      </c>
      <c r="AJ7" s="1454"/>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7">
        <f>STRCHECKDATE(V8:AJ8)</f>
      </c>
      <c r="AM7" s="516"/>
      <c r="AN7" s="516" t="str">
        <f>IF(T7="","",T7)</f>
        <v/>
      </c>
      <c r="AO7" s="516"/>
      <c r="AP7" s="516"/>
      <c r="AQ7" s="1171">
        <v>0</v>
      </c>
    </row>
    <row customHeight="1" ht="14.25" hidden="1">
      <c r="A8" s="1379"/>
      <c r="B8" s="1379"/>
      <c r="C8" s="1379"/>
      <c r="D8" s="1379"/>
      <c r="E8" s="2275"/>
      <c r="F8" s="2275"/>
      <c r="G8" s="2275"/>
      <c r="H8" s="2275"/>
      <c r="I8" s="2302"/>
      <c r="J8" s="2302"/>
      <c r="K8" s="2272"/>
      <c r="L8" s="1380"/>
      <c r="P8" s="2273"/>
      <c r="Q8" s="2273"/>
      <c r="R8" s="373"/>
      <c r="S8" s="1506"/>
      <c r="T8" s="316"/>
      <c r="U8" s="316"/>
      <c r="V8" s="341"/>
      <c r="W8" s="341"/>
      <c r="X8" s="344" t="str">
        <f>Y7&amp;"-"&amp;AA7</f>
        <v>-</v>
      </c>
      <c r="Y8" s="2282"/>
      <c r="Z8" s="2123"/>
      <c r="AA8" s="2282"/>
      <c r="AB8" s="2123"/>
      <c r="AC8" s="341"/>
      <c r="AD8" s="341"/>
      <c r="AE8" s="344" t="str">
        <f>AF7&amp;"-"&amp;AH7</f>
        <v>-</v>
      </c>
      <c r="AF8" s="2282"/>
      <c r="AG8" s="2123"/>
      <c r="AH8" s="2304"/>
      <c r="AI8" s="2123"/>
      <c r="AJ8" s="1455"/>
      <c r="AK8" s="2365"/>
      <c r="AM8" s="516"/>
      <c r="AN8" s="516" t="str">
        <f>IF(T8="","",T8)</f>
        <v/>
      </c>
      <c r="AO8" s="516"/>
      <c r="AP8" s="516"/>
      <c r="AQ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383"/>
      <c r="X9" s="383"/>
      <c r="Y9" s="383"/>
      <c r="Z9" s="383"/>
      <c r="AA9" s="383"/>
      <c r="AB9" s="383"/>
      <c r="AC9" s="383"/>
      <c r="AD9" s="383"/>
      <c r="AE9" s="383"/>
      <c r="AF9" s="383"/>
      <c r="AG9" s="383"/>
      <c r="AH9" s="383"/>
      <c r="AI9" s="383"/>
      <c r="AJ9" s="383"/>
      <c r="AK9" s="1274" t="s">
        <v>640</v>
      </c>
      <c r="AM9" s="516"/>
      <c r="AN9" s="516" t="str">
        <f>IF(T9="","",T9)</f>
        <v>Добавить значение признака дифференциации</v>
      </c>
      <c r="AO9" s="516"/>
      <c r="AP9" s="516"/>
      <c r="AQ9" s="1171">
        <v>0</v>
      </c>
    </row>
    <row customHeight="1" ht="21" hidden="1">
      <c r="A10" s="1379"/>
      <c r="B10" s="1379"/>
      <c r="C10" s="1379"/>
      <c r="D10" s="1379"/>
      <c r="E10" s="2275"/>
      <c r="F10" s="2275"/>
      <c r="G10" s="2275"/>
      <c r="H10" s="2275"/>
      <c r="I10" s="2272"/>
      <c r="J10" s="1379"/>
      <c r="K10" s="1379"/>
      <c r="L10" s="1380"/>
      <c r="P10" s="2273"/>
      <c r="Q10" s="1497"/>
      <c r="R10" s="372"/>
      <c r="S10" s="1294"/>
      <c r="T10" s="381" t="s">
        <v>565</v>
      </c>
      <c r="U10" s="383"/>
      <c r="V10" s="383"/>
      <c r="W10" s="383"/>
      <c r="X10" s="383"/>
      <c r="Y10" s="383"/>
      <c r="Z10" s="383"/>
      <c r="AA10" s="383"/>
      <c r="AB10" s="382"/>
      <c r="AC10" s="383"/>
      <c r="AD10" s="383"/>
      <c r="AE10" s="383"/>
      <c r="AF10" s="383"/>
      <c r="AG10" s="383"/>
      <c r="AH10" s="383"/>
      <c r="AI10" s="382"/>
      <c r="AJ10" s="383"/>
      <c r="AK10" s="1456"/>
      <c r="AM10" s="516"/>
      <c r="AN10" s="516" t="str">
        <f>IF(T10="","",T10)</f>
        <v>Добавить группу потребителей</v>
      </c>
      <c r="AO10" s="516"/>
      <c r="AP10" s="516"/>
      <c r="AQ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383"/>
      <c r="X11" s="383"/>
      <c r="Y11" s="383"/>
      <c r="Z11" s="383"/>
      <c r="AA11" s="383"/>
      <c r="AB11" s="382"/>
      <c r="AC11" s="383"/>
      <c r="AD11" s="383"/>
      <c r="AE11" s="383"/>
      <c r="AF11" s="383"/>
      <c r="AG11" s="383"/>
      <c r="AH11" s="383"/>
      <c r="AI11" s="382"/>
      <c r="AJ11" s="383"/>
      <c r="AK11" s="319"/>
      <c r="AM11" s="516"/>
      <c r="AN11" s="516" t="str">
        <f>IF(T11="","",T11)</f>
        <v>Добавить наименование признака дифференциации</v>
      </c>
      <c r="AO11" s="516"/>
      <c r="AP11" s="516"/>
      <c r="AQ11" s="1171">
        <v>0</v>
      </c>
    </row>
    <row s="1658" customFormat="1" customHeight="1" ht="14.25" hidden="1">
      <c r="A12" s="1359"/>
      <c r="B12" s="1359"/>
      <c r="C12" s="1330"/>
      <c r="D12" s="1330"/>
      <c r="E12" s="2275"/>
      <c r="F12" s="2274"/>
      <c r="G12" s="1330"/>
      <c r="H12" s="1330"/>
      <c r="I12" s="1330"/>
      <c r="J12" s="1330"/>
      <c r="K12" s="1330"/>
      <c r="L12" s="1510"/>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M12" s="805"/>
      <c r="AN12" s="805" t="str">
        <f>IF(T12="","",T12)</f>
        <v>Добавить централизованную систему для дифференциации</v>
      </c>
      <c r="AO12" s="805"/>
      <c r="AP12" s="805"/>
      <c r="AQ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M13" s="516"/>
      <c r="AN13" s="516" t="str">
        <f>IF(T13="","",T13)</f>
        <v>Добавить территорию для дифференциации</v>
      </c>
      <c r="AO13" s="516"/>
      <c r="AP13" s="516"/>
      <c r="AQ13" s="527">
        <v>0</v>
      </c>
    </row>
    <row customHeight="1" ht="14.25" hidden="1">
      <c r="AB14" s="343"/>
      <c r="AI14" s="343"/>
      <c r="AQ14" s="1171">
        <v>0</v>
      </c>
    </row>
    <row customHeight="1" ht="14.25" hidden="1">
      <c r="AC15" s="1376"/>
      <c r="AD15" s="1376"/>
      <c r="AE15" s="1377"/>
      <c r="AF15" s="2283"/>
      <c r="AG15" s="2284" t="s">
        <v>64</v>
      </c>
      <c r="AH15" s="2283"/>
      <c r="AI15" s="2284" t="s">
        <v>64</v>
      </c>
      <c r="AQ15" s="1171">
        <v>0</v>
      </c>
    </row>
    <row customHeight="1" ht="14.25" hidden="1">
      <c r="AC16" s="1376"/>
      <c r="AD16" s="1376"/>
      <c r="AE16" s="344" t="str">
        <f>AF15&amp;"-"&amp;AH15</f>
        <v>-</v>
      </c>
      <c r="AF16" s="2284"/>
      <c r="AG16" s="2284"/>
      <c r="AH16" s="2284"/>
      <c r="AI16" s="2284"/>
      <c r="AQ16" s="1171">
        <v>0</v>
      </c>
    </row>
    <row customHeight="1" ht="14.25" hidden="1">
      <c r="AI17" s="343"/>
      <c r="AQ17" s="1171">
        <v>0</v>
      </c>
    </row>
    <row s="1382" customFormat="1" customHeight="1" ht="22.5" hidden="1">
      <c r="L18" s="1494"/>
      <c r="M18" s="1378"/>
      <c r="N18" s="1378"/>
      <c r="O18" s="1383" t="s">
        <v>567</v>
      </c>
      <c r="P18" s="1378"/>
      <c r="Q18" s="1387"/>
      <c r="R18" s="1387"/>
      <c r="S18" s="745"/>
      <c r="Y18" s="1383"/>
      <c r="AA18" s="1383"/>
      <c r="AB18" s="1382"/>
      <c r="AF18" s="1383"/>
      <c r="AH18" s="1383"/>
      <c r="AI18" s="1382"/>
      <c r="AL18" s="527"/>
      <c r="AM18" s="527"/>
      <c r="AN18" s="527"/>
      <c r="AO18" s="527"/>
      <c r="AP18" s="527"/>
      <c r="AQ18" s="1176">
        <v>0</v>
      </c>
    </row>
    <row s="1382" customFormat="1" customHeight="1" ht="14.25" hidden="1">
      <c r="L19" s="1494"/>
      <c r="M19" s="1378"/>
      <c r="N19" s="1378"/>
      <c r="O19" s="1378"/>
      <c r="P19" s="1378"/>
      <c r="Q19" s="1387"/>
      <c r="R19" s="1387"/>
      <c r="S19" s="745"/>
      <c r="AB19" s="1382"/>
      <c r="AI19" s="1382"/>
      <c r="AL19" s="527"/>
      <c r="AM19" s="527"/>
      <c r="AN19" s="527"/>
      <c r="AO19" s="527"/>
      <c r="AP19" s="527"/>
      <c r="AQ19" s="1176">
        <v>0</v>
      </c>
    </row>
    <row s="1382" customFormat="1" customHeight="1" ht="12" hidden="1">
      <c r="L20" s="1494"/>
      <c r="M20" s="1378"/>
      <c r="N20" s="1378"/>
      <c r="O20" s="1380" t="s">
        <v>568</v>
      </c>
      <c r="P20" s="1378"/>
      <c r="Q20" s="1458"/>
      <c r="R20" s="1458"/>
      <c r="S20" s="745"/>
      <c r="T20" s="1176" t="s">
        <v>569</v>
      </c>
      <c r="Z20" s="202" t="s">
        <v>570</v>
      </c>
      <c r="AB20" s="202" t="s">
        <v>571</v>
      </c>
      <c r="AC20" s="1176" t="s">
        <v>569</v>
      </c>
      <c r="AG20" s="202" t="s">
        <v>572</v>
      </c>
      <c r="AI20" s="202" t="s">
        <v>571</v>
      </c>
      <c r="AQ20" s="1176">
        <v>0</v>
      </c>
    </row>
    <row customHeight="1" ht="14.25" hidden="1">
      <c r="O21" s="1380"/>
      <c r="AQ21" s="1171">
        <v>0</v>
      </c>
    </row>
    <row customHeight="1" ht="14.25" hidden="1">
      <c r="O22" s="1380"/>
      <c r="AQ22" s="1171">
        <v>0</v>
      </c>
    </row>
    <row customHeight="1" ht="14.699999999999998">
      <c r="Q23" s="392"/>
      <c r="R23" s="392"/>
      <c r="S23" s="1291"/>
      <c r="T23" s="379"/>
      <c r="U23" s="379"/>
      <c r="V23" s="525"/>
      <c r="W23" s="525"/>
      <c r="X23" s="525"/>
      <c r="Y23" s="525"/>
      <c r="Z23" s="525"/>
      <c r="AA23" s="525"/>
      <c r="AB23" s="525"/>
      <c r="AC23" s="525"/>
      <c r="AD23" s="525"/>
      <c r="AE23" s="525"/>
      <c r="AF23" s="525"/>
      <c r="AG23" s="525"/>
      <c r="AH23" s="525"/>
      <c r="AI23" s="525"/>
      <c r="AQ23" s="1171">
        <v>14</v>
      </c>
    </row>
    <row customHeight="1" ht="14.699999999999998">
      <c r="Q24" s="392"/>
      <c r="R24" s="392"/>
      <c r="S24" s="226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4"/>
      <c r="U24" s="2264"/>
      <c r="V24" s="2264"/>
      <c r="W24" s="2264"/>
      <c r="X24" s="2264"/>
      <c r="Y24" s="2264"/>
      <c r="Z24" s="2264"/>
      <c r="AA24" s="2264"/>
      <c r="AB24" s="2264"/>
      <c r="AC24" s="2264"/>
      <c r="AD24" s="2264"/>
      <c r="AE24" s="2264"/>
      <c r="AF24" s="2264"/>
      <c r="AG24" s="2264"/>
      <c r="AH24" s="2264"/>
      <c r="AI24" s="1259"/>
      <c r="AQ24" s="1171">
        <v>14</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525"/>
      <c r="AQ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342"/>
      <c r="AC27" s="2267" t="str">
        <f>IF(TITLE_NAME_OR_PR_CHANGE="",IF(TITLE_NAME_OR_PR="","",TITLE_NAME_OR_PR),TITLE_NAME_OR_PR_CHANGE)</f>
        <v>Агентство по тарифам Приморского края</v>
      </c>
      <c r="AD27" s="2267"/>
      <c r="AE27" s="2267"/>
      <c r="AF27" s="2267"/>
      <c r="AG27" s="2267"/>
      <c r="AH27" s="2267"/>
      <c r="AI27" s="342"/>
      <c r="AJ27" s="342"/>
      <c r="AK27" s="296"/>
      <c r="AL27" s="384"/>
      <c r="AM27" s="384"/>
      <c r="AN27" s="384"/>
      <c r="AO27" s="384"/>
      <c r="AP27" s="384"/>
      <c r="AQ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342"/>
      <c r="AC28" s="2280" t="str">
        <f>IF(TITLE_DATE_PR_CHANGE="",IF(TITLE_DATE_PR="","",TITLE_DATE_PR),TITLE_DATE_PR_CHANGE)</f>
        <v>45910</v>
      </c>
      <c r="AD28" s="2280"/>
      <c r="AE28" s="2280"/>
      <c r="AF28" s="2280"/>
      <c r="AG28" s="2280"/>
      <c r="AH28" s="2280"/>
      <c r="AI28" s="342"/>
      <c r="AJ28" s="342"/>
      <c r="AK28" s="296"/>
      <c r="AL28" s="384"/>
      <c r="AM28" s="384"/>
      <c r="AN28" s="384"/>
      <c r="AO28" s="384"/>
      <c r="AP28" s="384"/>
      <c r="AQ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342"/>
      <c r="AC29" s="2267" t="str">
        <f>IF(TITLE_NUMBER_PR_CHANGE="",IF(TITLE_NUMBER_PR="","",TITLE_NUMBER_PR),TITLE_NUMBER_PR_CHANGE)</f>
        <v>37/2</v>
      </c>
      <c r="AD29" s="2267"/>
      <c r="AE29" s="2267"/>
      <c r="AF29" s="2267"/>
      <c r="AG29" s="2267"/>
      <c r="AH29" s="2267"/>
      <c r="AI29" s="342"/>
      <c r="AJ29" s="342"/>
      <c r="AK29" s="296"/>
      <c r="AL29" s="384"/>
      <c r="AM29" s="384"/>
      <c r="AN29" s="384"/>
      <c r="AO29" s="384"/>
      <c r="AP29" s="384"/>
      <c r="AQ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342"/>
      <c r="AC30" s="2267" t="str">
        <f>IF(TITLE_IST_PUB_CHANGE="",IF(TITLE_IST_PUB="","",TITLE_IST_PUB),TITLE_IST_PUB_CHANGE)</f>
        <v>http://pravo.gov.ru</v>
      </c>
      <c r="AD30" s="2267"/>
      <c r="AE30" s="2267"/>
      <c r="AF30" s="2267"/>
      <c r="AG30" s="2267"/>
      <c r="AH30" s="2267"/>
      <c r="AI30" s="342"/>
      <c r="AJ30" s="342"/>
      <c r="AK30" s="296"/>
      <c r="AL30" s="384"/>
      <c r="AM30" s="384"/>
      <c r="AN30" s="384"/>
      <c r="AO30" s="384"/>
      <c r="AP30" s="384"/>
      <c r="AQ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525"/>
      <c r="AQ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342"/>
      <c r="AC32" s="2280" t="str">
        <f>IF(TITLE_DATE_PR_CHANGE="",IF(TITLE_DATE_PR="","",TITLE_DATE_PR),TITLE_DATE_PR_CHANGE)</f>
        <v>45910</v>
      </c>
      <c r="AD32" s="2280"/>
      <c r="AE32" s="2280"/>
      <c r="AF32" s="2280"/>
      <c r="AG32" s="2280"/>
      <c r="AH32" s="2280"/>
      <c r="AI32" s="342"/>
      <c r="AJ32" s="342"/>
      <c r="AK32" s="296"/>
      <c r="AL32" s="384"/>
      <c r="AM32" s="384"/>
      <c r="AN32" s="384"/>
      <c r="AO32" s="384"/>
      <c r="AP32" s="384"/>
      <c r="AQ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342"/>
      <c r="AC33" s="2267" t="str">
        <f>IF(TITLE_NUMBER_PR_CHANGE="",IF(TITLE_NUMBER_PR="","",TITLE_NUMBER_PR),TITLE_NUMBER_PR_CHANGE)</f>
        <v>37/2</v>
      </c>
      <c r="AD33" s="2267"/>
      <c r="AE33" s="2267"/>
      <c r="AF33" s="2267"/>
      <c r="AG33" s="2267"/>
      <c r="AH33" s="2267"/>
      <c r="AI33" s="342"/>
      <c r="AJ33" s="342"/>
      <c r="AK33" s="296"/>
      <c r="AL33" s="384"/>
      <c r="AM33" s="384"/>
      <c r="AN33" s="384"/>
      <c r="AO33" s="384"/>
      <c r="AP33" s="384"/>
      <c r="AQ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504"/>
      <c r="V34" s="342"/>
      <c r="W34" s="342"/>
      <c r="X34" s="342"/>
      <c r="Y34" s="342"/>
      <c r="Z34" s="342"/>
      <c r="AA34" s="342"/>
      <c r="AB34" s="294" t="s">
        <v>577</v>
      </c>
      <c r="AC34" s="342"/>
      <c r="AD34" s="342"/>
      <c r="AE34" s="342"/>
      <c r="AF34" s="342"/>
      <c r="AG34" s="342"/>
      <c r="AH34" s="342"/>
      <c r="AI34" s="294" t="s">
        <v>577</v>
      </c>
      <c r="AL34" s="384"/>
      <c r="AM34" s="384"/>
      <c r="AN34" s="384"/>
      <c r="AO34" s="384"/>
      <c r="AP34" s="384"/>
      <c r="AQ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Q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t="s">
        <v>454</v>
      </c>
      <c r="AQ36" s="1171">
        <v>14</v>
      </c>
    </row>
    <row customHeight="1" ht="14.699999999999998">
      <c r="Q37" s="392"/>
      <c r="R37" s="392"/>
      <c r="S37" s="2289" t="s">
        <v>91</v>
      </c>
      <c r="T37" s="2225" t="s">
        <v>578</v>
      </c>
      <c r="U37" s="317"/>
      <c r="V37" s="2290" t="s">
        <v>579</v>
      </c>
      <c r="W37" s="2291"/>
      <c r="X37" s="2291"/>
      <c r="Y37" s="2291"/>
      <c r="Z37" s="2291"/>
      <c r="AA37" s="2292"/>
      <c r="AB37" s="2293" t="s">
        <v>580</v>
      </c>
      <c r="AC37" s="2290" t="s">
        <v>579</v>
      </c>
      <c r="AD37" s="2291"/>
      <c r="AE37" s="2291"/>
      <c r="AF37" s="2291"/>
      <c r="AG37" s="2291"/>
      <c r="AH37" s="2292"/>
      <c r="AI37" s="2293" t="s">
        <v>581</v>
      </c>
      <c r="AJ37" s="2296" t="s">
        <v>582</v>
      </c>
      <c r="AK37" s="2143"/>
      <c r="AQ37" s="1171">
        <v>14</v>
      </c>
    </row>
    <row customHeight="1" ht="35.699999999999996">
      <c r="Q38" s="392"/>
      <c r="R38" s="392"/>
      <c r="S38" s="2289"/>
      <c r="T38" s="2225"/>
      <c r="U38" s="1047"/>
      <c r="V38" s="1499" t="s">
        <v>642</v>
      </c>
      <c r="W38" s="2278" t="s">
        <v>585</v>
      </c>
      <c r="X38" s="2279"/>
      <c r="Y38" s="2278" t="s">
        <v>586</v>
      </c>
      <c r="Z38" s="2285"/>
      <c r="AA38" s="2279"/>
      <c r="AB38" s="2294"/>
      <c r="AC38" s="1499" t="s">
        <v>642</v>
      </c>
      <c r="AD38" s="2278" t="s">
        <v>585</v>
      </c>
      <c r="AE38" s="2279"/>
      <c r="AF38" s="2278" t="s">
        <v>586</v>
      </c>
      <c r="AG38" s="2285"/>
      <c r="AH38" s="2279"/>
      <c r="AI38" s="2294"/>
      <c r="AJ38" s="2297"/>
      <c r="AK38" s="2143"/>
      <c r="AQ38" s="1171">
        <v>34</v>
      </c>
    </row>
    <row customHeight="1" ht="90.3">
      <c r="A39" s="1386"/>
      <c r="B39" s="1386" t="s">
        <v>204</v>
      </c>
      <c r="C39" s="1386" t="s">
        <v>205</v>
      </c>
      <c r="D39" s="1386" t="s">
        <v>206</v>
      </c>
      <c r="E39" s="1380" t="s">
        <v>587</v>
      </c>
      <c r="F39" s="1380" t="s">
        <v>588</v>
      </c>
      <c r="G39" s="1380" t="s">
        <v>589</v>
      </c>
      <c r="H39" s="1380"/>
      <c r="I39" s="1380" t="s">
        <v>643</v>
      </c>
      <c r="J39" s="1380" t="s">
        <v>592</v>
      </c>
      <c r="K39" s="1380" t="s">
        <v>644</v>
      </c>
      <c r="L39" s="1380" t="s">
        <v>568</v>
      </c>
      <c r="Q39" s="392"/>
      <c r="R39" s="392"/>
      <c r="S39" s="2289"/>
      <c r="T39" s="2225"/>
      <c r="U39" s="318"/>
      <c r="V39" s="1499" t="s">
        <v>671</v>
      </c>
      <c r="W39" s="1238" t="s">
        <v>672</v>
      </c>
      <c r="X39" s="1238" t="s">
        <v>647</v>
      </c>
      <c r="Y39" s="1505" t="s">
        <v>596</v>
      </c>
      <c r="Z39" s="2286" t="s">
        <v>597</v>
      </c>
      <c r="AA39" s="2287"/>
      <c r="AB39" s="2295"/>
      <c r="AC39" s="1499" t="s">
        <v>671</v>
      </c>
      <c r="AD39" s="1238" t="s">
        <v>672</v>
      </c>
      <c r="AE39" s="1238" t="s">
        <v>647</v>
      </c>
      <c r="AF39" s="1505" t="s">
        <v>596</v>
      </c>
      <c r="AG39" s="2286" t="s">
        <v>597</v>
      </c>
      <c r="AH39" s="2287"/>
      <c r="AI39" s="2295"/>
      <c r="AJ39" s="2298"/>
      <c r="AK39" s="2143"/>
      <c r="AQ39" s="1171">
        <v>86</v>
      </c>
    </row>
    <row s="1657" customFormat="1" customHeight="1" ht="11.25" hidden="1">
      <c r="A40" s="1386"/>
      <c r="B40" s="1386"/>
      <c r="C40" s="1386"/>
      <c r="D40" s="1386"/>
      <c r="E40" s="1386"/>
      <c r="F40" s="1386"/>
      <c r="G40" s="1386"/>
      <c r="H40" s="1386"/>
      <c r="I40" s="1386"/>
      <c r="J40" s="1386"/>
      <c r="K40" s="1386"/>
      <c r="L40" s="1380"/>
      <c r="M40" s="1378"/>
      <c r="N40" s="1378"/>
      <c r="O40" s="1378"/>
      <c r="P40" s="1262"/>
      <c r="Q40" s="1263"/>
      <c r="R40" s="1270">
        <v>1</v>
      </c>
      <c r="S40" s="1293" t="s">
        <v>141</v>
      </c>
      <c r="T40" s="1271" t="s">
        <v>107</v>
      </c>
      <c r="U40" s="1261" t="str">
        <f>OFFSET(U40,0,-1)</f>
        <v>2</v>
      </c>
      <c r="V40" s="1498">
        <f>OFFSET(V40,0,-1)+1</f>
        <v>3</v>
      </c>
      <c r="W40" s="1498">
        <f>OFFSET(W40,0,-1)+1</f>
        <v>4</v>
      </c>
      <c r="X40" s="1498">
        <f>OFFSET(X40,0,-1)+1</f>
        <v>5</v>
      </c>
      <c r="Y40" s="1498">
        <f>OFFSET(Y40,0,-1)+1</f>
        <v>6</v>
      </c>
      <c r="Z40" s="2288">
        <f>OFFSET(Z40,0,-1)+1</f>
        <v>7</v>
      </c>
      <c r="AA40" s="2288"/>
      <c r="AB40" s="1498">
        <f>OFFSET(AB40,0,-2)+1</f>
        <v>8</v>
      </c>
      <c r="AC40" s="1498">
        <f>OFFSET(AC40,0,-1)+1</f>
        <v>9</v>
      </c>
      <c r="AD40" s="1498">
        <f>OFFSET(AD40,0,-1)+1</f>
        <v>10</v>
      </c>
      <c r="AE40" s="1498">
        <f>OFFSET(AE40,0,-1)+1</f>
        <v>11</v>
      </c>
      <c r="AF40" s="1498">
        <f>OFFSET(AF40,0,-1)+1</f>
        <v>12</v>
      </c>
      <c r="AG40" s="2288">
        <f>OFFSET(AG40,0,-1)+1</f>
        <v>13</v>
      </c>
      <c r="AH40" s="2288"/>
      <c r="AI40" s="1498">
        <f>OFFSET(AI40,0,-2)+1</f>
        <v>14</v>
      </c>
      <c r="AJ40" s="1261">
        <f>OFFSET(AJ40,0,-1)</f>
        <v>14</v>
      </c>
      <c r="AK40" s="1498">
        <f>OFFSET(AK40,0,-1)+1</f>
        <v>15</v>
      </c>
      <c r="AL40" s="527"/>
      <c r="AM40" s="527"/>
      <c r="AN40" s="527"/>
      <c r="AO40" s="527"/>
      <c r="AP40" s="527"/>
      <c r="AQ40" s="512">
        <v>0</v>
      </c>
    </row>
    <row customHeight="1" ht="24">
      <c r="A41" s="1379" t="s">
        <v>419</v>
      </c>
      <c r="B41" s="1379"/>
      <c r="C41" s="1379"/>
      <c r="D41" s="1379"/>
      <c r="E41" s="2274">
        <v>1</v>
      </c>
      <c r="F41" s="1379"/>
      <c r="G41" s="1379"/>
      <c r="H41" s="1379"/>
      <c r="I41" s="1379"/>
      <c r="J41" s="1379"/>
      <c r="K41" s="1379"/>
      <c r="L41" s="1380"/>
      <c r="M41" s="1381"/>
      <c r="N41" s="1381"/>
      <c r="O41" s="1381"/>
      <c r="P41" s="377"/>
      <c r="Q41" s="376"/>
      <c r="R41" s="371"/>
      <c r="S41" s="1509">
        <f>INDEX(PT_DIFFERENTIATION_NUM_NTAR,MATCH(A41,PT_DIFFERENTIATION_NTAR_ID,0))</f>
        <v>0</v>
      </c>
      <c r="T41" s="314" t="s">
        <v>192</v>
      </c>
      <c r="U41" s="316"/>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6"/>
      <c r="AN41" s="516" t="str">
        <f>IF(T41="","",T41)</f>
        <v>Наименование тарифа</v>
      </c>
      <c r="AO41" s="516"/>
      <c r="AP41" s="516"/>
      <c r="AQ41" s="1171">
        <v>23</v>
      </c>
    </row>
    <row customHeight="1" ht="24">
      <c r="A42" s="1379" t="s">
        <v>419</v>
      </c>
      <c r="B42" s="1379" t="s">
        <v>420</v>
      </c>
      <c r="C42" s="1379"/>
      <c r="D42" s="1379"/>
      <c r="E42" s="2275"/>
      <c r="F42" s="2274">
        <v>1</v>
      </c>
      <c r="G42" s="1379"/>
      <c r="H42" s="1379"/>
      <c r="I42" s="1379"/>
      <c r="J42" s="1379"/>
      <c r="K42" s="1379"/>
      <c r="L42" s="1380"/>
      <c r="M42" s="1381"/>
      <c r="N42" s="1381"/>
      <c r="O42" s="1381"/>
      <c r="P42" s="1503"/>
      <c r="Q42" s="368"/>
      <c r="R42" s="369"/>
      <c r="S42" s="1509" t="str">
        <f>INDEX(PT_DIFFERENTIATION_NUM_TER,MATCH(B42,PT_DIFFERENTIATION_TER_ID,0))</f>
        <v>.</v>
      </c>
      <c r="T42" s="324" t="s">
        <v>550</v>
      </c>
      <c r="U42" s="316"/>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74" t="s">
        <v>551</v>
      </c>
      <c r="AM42" s="516"/>
      <c r="AN42" s="516" t="str">
        <f>IF(T42="","",T42)</f>
        <v>Территория действия тарифа</v>
      </c>
      <c r="AO42" s="516"/>
      <c r="AP42" s="516"/>
      <c r="AQ42" s="1171">
        <v>23</v>
      </c>
    </row>
    <row customHeight="1" ht="24">
      <c r="A43" s="1379" t="s">
        <v>419</v>
      </c>
      <c r="B43" s="1379" t="s">
        <v>420</v>
      </c>
      <c r="C43" s="1379" t="s">
        <v>421</v>
      </c>
      <c r="D43" s="1379"/>
      <c r="E43" s="2275"/>
      <c r="F43" s="2275"/>
      <c r="G43" s="2274">
        <v>1</v>
      </c>
      <c r="H43" s="1379"/>
      <c r="I43" s="1379"/>
      <c r="J43" s="1379"/>
      <c r="K43" s="1379"/>
      <c r="L43" s="1380"/>
      <c r="M43" s="1381"/>
      <c r="N43" s="1381"/>
      <c r="O43" s="1381"/>
      <c r="P43" s="370"/>
      <c r="Q43" s="368"/>
      <c r="R43" s="369"/>
      <c r="S43" s="1509" t="str">
        <f>INDEX(PT_DIFFERENTIATION_NUM_CS,MATCH(C43,PT_DIFFERENTIATION_CS_ID,0))</f>
        <v>..</v>
      </c>
      <c r="T43" s="325" t="s">
        <v>669</v>
      </c>
      <c r="U43" s="316"/>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74" t="s">
        <v>670</v>
      </c>
      <c r="AM43" s="516"/>
      <c r="AN43" s="516" t="str">
        <f>IF(T43="","",T43)</f>
        <v>Наименование централизованной системы водоотведения</v>
      </c>
      <c r="AO43" s="516"/>
      <c r="AP43" s="516"/>
      <c r="AQ43" s="1171">
        <v>23</v>
      </c>
    </row>
    <row customHeight="1" ht="24">
      <c r="A44" s="1379" t="s">
        <v>419</v>
      </c>
      <c r="B44" s="1379" t="s">
        <v>420</v>
      </c>
      <c r="C44" s="1379" t="s">
        <v>421</v>
      </c>
      <c r="D44" s="1379" t="s">
        <v>673</v>
      </c>
      <c r="E44" s="2275"/>
      <c r="F44" s="2275"/>
      <c r="G44" s="2275"/>
      <c r="H44" s="2275"/>
      <c r="I44" s="2272" t="str">
        <f>S43&amp;".1"</f>
        <v>...1</v>
      </c>
      <c r="J44" s="1379"/>
      <c r="K44" s="1379"/>
      <c r="L44" s="1380"/>
      <c r="P44" s="2273">
        <v>1</v>
      </c>
      <c r="Q44" s="1497"/>
      <c r="R44" s="372"/>
      <c r="S44" s="1509" t="str">
        <f>$I44</f>
        <v>...1</v>
      </c>
      <c r="T44" s="301" t="s">
        <v>636</v>
      </c>
      <c r="U44" s="316"/>
      <c r="V44" s="2366"/>
      <c r="W44" s="2367"/>
      <c r="X44" s="2367"/>
      <c r="Y44" s="2367"/>
      <c r="Z44" s="2367"/>
      <c r="AA44" s="2367"/>
      <c r="AB44" s="2368"/>
      <c r="AC44" s="2369"/>
      <c r="AD44" s="2370"/>
      <c r="AE44" s="2370"/>
      <c r="AF44" s="2370"/>
      <c r="AG44" s="2370"/>
      <c r="AH44" s="2370"/>
      <c r="AI44" s="2370"/>
      <c r="AJ44" s="2371"/>
      <c r="AK44" s="1274" t="s">
        <v>637</v>
      </c>
      <c r="AM44" s="516"/>
      <c r="AN44" s="516" t="str">
        <f>IF(T44="","",T44)</f>
        <v>Наименование признака дифференциации</v>
      </c>
      <c r="AO44" s="516"/>
      <c r="AP44" s="516"/>
      <c r="AQ44" s="1171">
        <v>23</v>
      </c>
    </row>
    <row customHeight="1" ht="24">
      <c r="A45" s="1379" t="s">
        <v>419</v>
      </c>
      <c r="B45" s="1379" t="s">
        <v>420</v>
      </c>
      <c r="C45" s="1379" t="s">
        <v>421</v>
      </c>
      <c r="D45" s="1379" t="s">
        <v>673</v>
      </c>
      <c r="E45" s="2275"/>
      <c r="F45" s="2275"/>
      <c r="G45" s="2275"/>
      <c r="H45" s="2275"/>
      <c r="I45" s="2302"/>
      <c r="J45" s="2272" t="str">
        <f>I44&amp;".1"</f>
        <v>...1.1</v>
      </c>
      <c r="K45" s="1379"/>
      <c r="L45" s="1380" t="s">
        <v>559</v>
      </c>
      <c r="P45" s="2273"/>
      <c r="Q45" s="2273">
        <v>1</v>
      </c>
      <c r="R45" s="373"/>
      <c r="S45" s="1509" t="str">
        <f>$J45</f>
        <v>...1.1</v>
      </c>
      <c r="T45" s="302" t="s">
        <v>560</v>
      </c>
      <c r="U45" s="316"/>
      <c r="V45" s="2261"/>
      <c r="W45" s="2262"/>
      <c r="X45" s="2262"/>
      <c r="Y45" s="2262"/>
      <c r="Z45" s="2262"/>
      <c r="AA45" s="2262"/>
      <c r="AB45" s="2263"/>
      <c r="AC45" s="2261"/>
      <c r="AD45" s="2262"/>
      <c r="AE45" s="2262"/>
      <c r="AF45" s="2262"/>
      <c r="AG45" s="2262"/>
      <c r="AH45" s="2262"/>
      <c r="AI45" s="2262"/>
      <c r="AJ45" s="2263"/>
      <c r="AK45" s="1323" t="s">
        <v>638</v>
      </c>
      <c r="AM45" s="516"/>
      <c r="AN45" s="516" t="str">
        <f>IF(T45="","",T45)</f>
        <v>Группа потребителей</v>
      </c>
      <c r="AO45" s="516"/>
      <c r="AP45" s="516"/>
      <c r="AQ45" s="1171">
        <v>23</v>
      </c>
    </row>
    <row customHeight="1" ht="24">
      <c r="A46" s="1379" t="s">
        <v>419</v>
      </c>
      <c r="B46" s="1379" t="s">
        <v>420</v>
      </c>
      <c r="C46" s="1379" t="s">
        <v>421</v>
      </c>
      <c r="D46" s="1379" t="s">
        <v>673</v>
      </c>
      <c r="E46" s="2275"/>
      <c r="F46" s="2275"/>
      <c r="G46" s="2275"/>
      <c r="H46" s="2275"/>
      <c r="I46" s="2302"/>
      <c r="J46" s="2302"/>
      <c r="K46" s="2272" t="str">
        <f>J45&amp;".1"</f>
        <v>...1.1.1</v>
      </c>
      <c r="L46" s="1380"/>
      <c r="P46" s="2273"/>
      <c r="Q46" s="2273"/>
      <c r="R46" s="373">
        <v>1</v>
      </c>
      <c r="S46" s="1509" t="str">
        <f>$K46</f>
        <v>...1.1.1</v>
      </c>
      <c r="T46" s="1453"/>
      <c r="U46" s="316"/>
      <c r="V46" s="1376"/>
      <c r="W46" s="1376"/>
      <c r="X46" s="1377"/>
      <c r="Y46" s="2283"/>
      <c r="Z46" s="2284" t="s">
        <v>64</v>
      </c>
      <c r="AA46" s="2283"/>
      <c r="AB46" s="2284" t="s">
        <v>64</v>
      </c>
      <c r="AC46" s="767"/>
      <c r="AD46" s="767"/>
      <c r="AE46" s="1273"/>
      <c r="AF46" s="2281"/>
      <c r="AG46" s="2123" t="s">
        <v>64</v>
      </c>
      <c r="AH46" s="2303"/>
      <c r="AI46" s="2123" t="s">
        <v>19</v>
      </c>
      <c r="AJ46" s="1454"/>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7">
        <f>STRCHECKDATE(V47:AJ47)</f>
      </c>
      <c r="AM46" s="516"/>
      <c r="AN46" s="516" t="str">
        <f>IF(T46="","",T46)</f>
        <v/>
      </c>
      <c r="AO46" s="516"/>
      <c r="AP46" s="516"/>
      <c r="AQ46" s="1171">
        <v>23</v>
      </c>
    </row>
    <row customHeight="1" ht="0">
      <c r="A47" s="1379" t="s">
        <v>419</v>
      </c>
      <c r="B47" s="1379" t="s">
        <v>420</v>
      </c>
      <c r="C47" s="1379" t="s">
        <v>421</v>
      </c>
      <c r="D47" s="1379" t="s">
        <v>673</v>
      </c>
      <c r="E47" s="2275"/>
      <c r="F47" s="2275"/>
      <c r="G47" s="2275"/>
      <c r="H47" s="2275"/>
      <c r="I47" s="2302"/>
      <c r="J47" s="2302"/>
      <c r="K47" s="2272"/>
      <c r="L47" s="1380"/>
      <c r="P47" s="2273"/>
      <c r="Q47" s="2273"/>
      <c r="R47" s="373"/>
      <c r="S47" s="1506"/>
      <c r="T47" s="316"/>
      <c r="U47" s="316"/>
      <c r="V47" s="1376"/>
      <c r="W47" s="1376"/>
      <c r="X47" s="344" t="str">
        <f>Y46&amp;"-"&amp;AA46</f>
        <v>-</v>
      </c>
      <c r="Y47" s="2284"/>
      <c r="Z47" s="2284"/>
      <c r="AA47" s="2284"/>
      <c r="AB47" s="2284"/>
      <c r="AC47" s="341"/>
      <c r="AD47" s="341"/>
      <c r="AE47" s="344" t="str">
        <f>AF46&amp;"-"&amp;AH46</f>
        <v>-</v>
      </c>
      <c r="AF47" s="2282"/>
      <c r="AG47" s="2123"/>
      <c r="AH47" s="2304"/>
      <c r="AI47" s="2123"/>
      <c r="AJ47" s="1455"/>
      <c r="AK47" s="2365"/>
      <c r="AM47" s="516"/>
      <c r="AN47" s="516" t="str">
        <f>IF(T47="","",T47)</f>
        <v/>
      </c>
      <c r="AO47" s="516"/>
      <c r="AP47" s="516"/>
      <c r="AQ47" s="1171">
        <v>0</v>
      </c>
    </row>
    <row customHeight="1" ht="21">
      <c r="A48" s="1379" t="s">
        <v>419</v>
      </c>
      <c r="B48" s="1379" t="s">
        <v>420</v>
      </c>
      <c r="C48" s="1379" t="s">
        <v>421</v>
      </c>
      <c r="D48" s="1379" t="s">
        <v>673</v>
      </c>
      <c r="E48" s="2275"/>
      <c r="F48" s="2275"/>
      <c r="G48" s="2275"/>
      <c r="H48" s="2275"/>
      <c r="I48" s="2302"/>
      <c r="J48" s="2272"/>
      <c r="K48" s="1379"/>
      <c r="L48" s="1380"/>
      <c r="P48" s="2273"/>
      <c r="Q48" s="2273"/>
      <c r="R48" s="372"/>
      <c r="S48" s="1294"/>
      <c r="T48" s="303" t="s">
        <v>639</v>
      </c>
      <c r="U48" s="383"/>
      <c r="V48" s="383"/>
      <c r="W48" s="383"/>
      <c r="X48" s="383"/>
      <c r="Y48" s="383"/>
      <c r="Z48" s="383"/>
      <c r="AA48" s="383"/>
      <c r="AB48" s="383"/>
      <c r="AC48" s="383"/>
      <c r="AD48" s="383"/>
      <c r="AE48" s="383"/>
      <c r="AF48" s="383"/>
      <c r="AG48" s="383"/>
      <c r="AH48" s="383"/>
      <c r="AI48" s="383"/>
      <c r="AJ48" s="383"/>
      <c r="AK48" s="1274" t="s">
        <v>640</v>
      </c>
      <c r="AM48" s="516"/>
      <c r="AN48" s="516" t="str">
        <f>IF(T48="","",T48)</f>
        <v>Добавить значение признака дифференциации</v>
      </c>
      <c r="AO48" s="516"/>
      <c r="AP48" s="516"/>
      <c r="AQ48" s="1171">
        <v>20</v>
      </c>
    </row>
    <row customHeight="1" ht="22.049999999999997">
      <c r="A49" s="1379" t="s">
        <v>419</v>
      </c>
      <c r="B49" s="1379" t="s">
        <v>420</v>
      </c>
      <c r="C49" s="1379" t="s">
        <v>421</v>
      </c>
      <c r="D49" s="1379" t="s">
        <v>673</v>
      </c>
      <c r="E49" s="2275"/>
      <c r="F49" s="2275"/>
      <c r="G49" s="2275"/>
      <c r="H49" s="2275"/>
      <c r="I49" s="2272"/>
      <c r="J49" s="1379"/>
      <c r="K49" s="1379"/>
      <c r="L49" s="1380"/>
      <c r="P49" s="2273"/>
      <c r="Q49" s="1497"/>
      <c r="R49" s="372"/>
      <c r="S49" s="1294"/>
      <c r="T49" s="381" t="s">
        <v>565</v>
      </c>
      <c r="U49" s="383"/>
      <c r="V49" s="383"/>
      <c r="W49" s="383"/>
      <c r="X49" s="383"/>
      <c r="Y49" s="383"/>
      <c r="Z49" s="383"/>
      <c r="AA49" s="383"/>
      <c r="AB49" s="382"/>
      <c r="AC49" s="383"/>
      <c r="AD49" s="383"/>
      <c r="AE49" s="383"/>
      <c r="AF49" s="383"/>
      <c r="AG49" s="383"/>
      <c r="AH49" s="383"/>
      <c r="AI49" s="382"/>
      <c r="AJ49" s="383"/>
      <c r="AK49" s="1456"/>
      <c r="AM49" s="516"/>
      <c r="AN49" s="516" t="str">
        <f>IF(T49="","",T49)</f>
        <v>Добавить группу потребителей</v>
      </c>
      <c r="AO49" s="516"/>
      <c r="AP49" s="516"/>
      <c r="AQ49" s="1171">
        <v>21</v>
      </c>
    </row>
    <row customHeight="1" ht="22.049999999999997">
      <c r="A50" s="1379" t="s">
        <v>419</v>
      </c>
      <c r="B50" s="1379" t="s">
        <v>420</v>
      </c>
      <c r="C50" s="1379" t="s">
        <v>421</v>
      </c>
      <c r="D50" s="1379" t="s">
        <v>673</v>
      </c>
      <c r="E50" s="2275"/>
      <c r="F50" s="2275"/>
      <c r="G50" s="2275"/>
      <c r="H50" s="2274"/>
      <c r="I50" s="1379"/>
      <c r="J50" s="1379"/>
      <c r="K50" s="1379"/>
      <c r="L50" s="1380"/>
      <c r="M50" s="1381"/>
      <c r="N50" s="1381"/>
      <c r="O50" s="553"/>
      <c r="P50" s="376"/>
      <c r="Q50" s="391"/>
      <c r="R50" s="371"/>
      <c r="S50" s="1294"/>
      <c r="T50" s="388" t="s">
        <v>641</v>
      </c>
      <c r="U50" s="383"/>
      <c r="V50" s="383"/>
      <c r="W50" s="383"/>
      <c r="X50" s="383"/>
      <c r="Y50" s="383"/>
      <c r="Z50" s="383"/>
      <c r="AA50" s="383"/>
      <c r="AB50" s="382"/>
      <c r="AC50" s="383"/>
      <c r="AD50" s="383"/>
      <c r="AE50" s="383"/>
      <c r="AF50" s="383"/>
      <c r="AG50" s="383"/>
      <c r="AH50" s="383"/>
      <c r="AI50" s="382"/>
      <c r="AJ50" s="383"/>
      <c r="AK50" s="319"/>
      <c r="AM50" s="516"/>
      <c r="AN50" s="516" t="str">
        <f>IF(T50="","",T50)</f>
        <v>Добавить наименование признака дифференциации</v>
      </c>
      <c r="AO50" s="516"/>
      <c r="AP50" s="516"/>
      <c r="AQ50" s="1171">
        <v>21</v>
      </c>
    </row>
    <row s="1658" customFormat="1" customHeight="1" ht="0">
      <c r="A51" s="1359" t="s">
        <v>419</v>
      </c>
      <c r="B51" s="1359" t="s">
        <v>420</v>
      </c>
      <c r="C51" s="1330"/>
      <c r="D51" s="1330"/>
      <c r="E51" s="2275"/>
      <c r="F51" s="2274"/>
      <c r="G51" s="1330"/>
      <c r="H51" s="1330"/>
      <c r="I51" s="1330"/>
      <c r="J51" s="1330"/>
      <c r="K51" s="1330"/>
      <c r="L51" s="1510"/>
      <c r="M51" s="1337"/>
      <c r="N51" s="1337"/>
      <c r="P51" s="1332"/>
      <c r="Q51" s="1333"/>
      <c r="R51" s="1332"/>
      <c r="S51" s="1338"/>
      <c r="T51" s="1341" t="s">
        <v>269</v>
      </c>
      <c r="U51" s="1340"/>
      <c r="V51" s="1340"/>
      <c r="W51" s="1340"/>
      <c r="X51" s="1340"/>
      <c r="Y51" s="1340"/>
      <c r="Z51" s="1340"/>
      <c r="AA51" s="1340"/>
      <c r="AB51" s="1340"/>
      <c r="AC51" s="1340"/>
      <c r="AD51" s="1340"/>
      <c r="AE51" s="1340"/>
      <c r="AF51" s="1340"/>
      <c r="AG51" s="1340"/>
      <c r="AH51" s="1340"/>
      <c r="AI51" s="1340"/>
      <c r="AJ51" s="1340"/>
      <c r="AK51" s="1340"/>
      <c r="AM51" s="805"/>
      <c r="AN51" s="805" t="str">
        <f>IF(T51="","",T51)</f>
        <v>Добавить централизованную систему для дифференциации</v>
      </c>
      <c r="AO51" s="805"/>
      <c r="AP51" s="805"/>
      <c r="AQ51" s="534">
        <v>0</v>
      </c>
    </row>
    <row s="1658" customFormat="1" customHeight="1" ht="0">
      <c r="A52" s="1359" t="s">
        <v>419</v>
      </c>
      <c r="B52" s="1359"/>
      <c r="C52" s="1359"/>
      <c r="D52" s="1359"/>
      <c r="E52" s="2274"/>
      <c r="F52" s="1359"/>
      <c r="G52" s="1359"/>
      <c r="H52" s="1359"/>
      <c r="I52" s="1359"/>
      <c r="J52" s="1359"/>
      <c r="K52" s="1359"/>
      <c r="L52" s="1362"/>
      <c r="M52" s="1337"/>
      <c r="N52" s="1337"/>
      <c r="O52" s="534"/>
      <c r="P52" s="396"/>
      <c r="Q52" s="1360"/>
      <c r="R52" s="396"/>
      <c r="S52" s="1338"/>
      <c r="T52" s="1341" t="s">
        <v>330</v>
      </c>
      <c r="U52" s="1340"/>
      <c r="V52" s="1340"/>
      <c r="W52" s="1340"/>
      <c r="X52" s="1340"/>
      <c r="Y52" s="1340"/>
      <c r="Z52" s="1340"/>
      <c r="AA52" s="1340"/>
      <c r="AB52" s="1340"/>
      <c r="AC52" s="1340"/>
      <c r="AD52" s="1340"/>
      <c r="AE52" s="1340"/>
      <c r="AF52" s="1340"/>
      <c r="AG52" s="1340"/>
      <c r="AH52" s="1340"/>
      <c r="AI52" s="1340"/>
      <c r="AJ52" s="1340"/>
      <c r="AK52" s="1340"/>
      <c r="AM52" s="516"/>
      <c r="AN52" s="516" t="str">
        <f>IF(T52="","",T52)</f>
        <v>Добавить территорию для дифференциации</v>
      </c>
      <c r="AO52" s="516"/>
      <c r="AP52" s="516"/>
      <c r="AQ52" s="527">
        <v>0</v>
      </c>
    </row>
    <row s="1658" customFormat="1" customHeight="1" ht="0">
      <c r="A53" s="1330"/>
      <c r="B53" s="1330"/>
      <c r="C53" s="1330"/>
      <c r="D53" s="1330"/>
      <c r="E53" s="1359"/>
      <c r="F53" s="1330"/>
      <c r="G53" s="1330"/>
      <c r="H53" s="1330"/>
      <c r="I53" s="1330"/>
      <c r="J53" s="1330"/>
      <c r="K53" s="1330"/>
      <c r="L53" s="1510"/>
      <c r="M53" s="1337"/>
      <c r="N53" s="1337"/>
      <c r="P53" s="1332"/>
      <c r="Q53" s="1333"/>
      <c r="R53" s="1332"/>
      <c r="S53" s="1338"/>
      <c r="T53" s="1341" t="s">
        <v>356</v>
      </c>
      <c r="U53" s="1340"/>
      <c r="V53" s="1340"/>
      <c r="W53" s="1340"/>
      <c r="X53" s="1340"/>
      <c r="Y53" s="1340"/>
      <c r="Z53" s="1340"/>
      <c r="AA53" s="1340"/>
      <c r="AB53" s="1340"/>
      <c r="AC53" s="1340"/>
      <c r="AD53" s="1340"/>
      <c r="AE53" s="1340"/>
      <c r="AF53" s="1340"/>
      <c r="AG53" s="1340"/>
      <c r="AH53" s="1340"/>
      <c r="AI53" s="1340"/>
      <c r="AJ53" s="1340"/>
      <c r="AK53" s="1340"/>
      <c r="AM53" s="805"/>
      <c r="AN53" s="805" t="str">
        <f>IF(T53="","",T53)</f>
        <v>Добавить наименование тарифа</v>
      </c>
      <c r="AO53" s="805"/>
      <c r="AP53" s="805"/>
      <c r="AQ53" s="534">
        <v>0</v>
      </c>
    </row>
    <row customHeight="1" ht="11.549999999999999">
      <c r="M54" s="1176"/>
      <c r="N54" s="1176"/>
      <c r="O54" s="553"/>
      <c r="P54" s="1171"/>
      <c r="Q54" s="1171"/>
      <c r="R54" s="1171"/>
      <c r="S54" s="1171"/>
      <c r="AL54" s="1171"/>
      <c r="AM54" s="1171"/>
      <c r="AN54" s="1171"/>
      <c r="AO54" s="1171"/>
      <c r="AP54" s="1171"/>
      <c r="AQ54" s="1171">
        <v>11</v>
      </c>
    </row>
    <row customHeight="1" ht="14.699999999999998">
      <c r="O55" s="553"/>
      <c r="S55" s="1269"/>
      <c r="T55" s="2301"/>
      <c r="U55" s="2301"/>
      <c r="V55" s="2301"/>
      <c r="W55" s="2301"/>
      <c r="X55" s="2301"/>
      <c r="Y55" s="2301"/>
      <c r="Z55" s="2301"/>
      <c r="AA55" s="2301"/>
      <c r="AB55" s="2301"/>
      <c r="AC55" s="2301"/>
      <c r="AD55" s="2301"/>
      <c r="AE55" s="2301"/>
      <c r="AF55" s="2301"/>
      <c r="AG55" s="2301"/>
      <c r="AH55" s="2301"/>
      <c r="AI55" s="2301"/>
      <c r="AJ55" s="2301"/>
      <c r="AK55" s="2301"/>
      <c r="AQ55" s="1171">
        <v>14</v>
      </c>
    </row>
    <row customHeight="1" ht="14.699999999999998">
      <c r="O56" s="553"/>
      <c r="AQ56" s="1171">
        <v>14</v>
      </c>
    </row>
    <row customHeight="1" ht="14.699999999999998">
      <c r="O57" s="553"/>
      <c r="S57" s="1269"/>
      <c r="T57" s="2301"/>
      <c r="U57" s="2301"/>
      <c r="V57" s="2301"/>
      <c r="W57" s="2301"/>
      <c r="X57" s="2301"/>
      <c r="Y57" s="2301"/>
      <c r="Z57" s="2301"/>
      <c r="AA57" s="2301"/>
      <c r="AB57" s="2301"/>
      <c r="AC57" s="2301"/>
      <c r="AD57" s="2301"/>
      <c r="AE57" s="2301"/>
      <c r="AF57" s="2301"/>
      <c r="AG57" s="2301"/>
      <c r="AH57" s="2301"/>
      <c r="AI57" s="2301"/>
      <c r="AJ57" s="2301"/>
      <c r="AK57" s="2301"/>
      <c r="AQ57" s="1171">
        <v>14</v>
      </c>
    </row>
    <row customHeight="1" ht="22.5" hidden="1">
      <c r="A58" s="1176" t="s">
        <v>85</v>
      </c>
      <c r="B58" s="1176">
        <v>0</v>
      </c>
      <c r="C58" s="1176">
        <v>0</v>
      </c>
      <c r="D58" s="1176">
        <v>0</v>
      </c>
      <c r="E58" s="1176">
        <v>0</v>
      </c>
      <c r="F58" s="1176">
        <v>0</v>
      </c>
      <c r="G58" s="1176">
        <v>0</v>
      </c>
      <c r="H58" s="1176">
        <v>0</v>
      </c>
      <c r="I58" s="1176">
        <v>0</v>
      </c>
      <c r="J58" s="1176">
        <v>0</v>
      </c>
      <c r="K58" s="1176">
        <v>0</v>
      </c>
      <c r="L58" s="1494">
        <v>0</v>
      </c>
      <c r="M58" s="1378">
        <v>0</v>
      </c>
      <c r="N58" s="1378">
        <v>0</v>
      </c>
      <c r="O58" s="1378">
        <v>0</v>
      </c>
      <c r="P58" s="1489">
        <v>3</v>
      </c>
      <c r="Q58" s="360">
        <v>3</v>
      </c>
      <c r="R58" s="360">
        <v>3</v>
      </c>
      <c r="S58" s="597">
        <v>12</v>
      </c>
      <c r="T58" s="1171">
        <v>35</v>
      </c>
      <c r="U58" s="1171">
        <v>0</v>
      </c>
      <c r="V58" s="1171">
        <v>0</v>
      </c>
      <c r="W58" s="1171">
        <v>0</v>
      </c>
      <c r="X58" s="1171">
        <v>0</v>
      </c>
      <c r="Y58" s="1171">
        <v>0</v>
      </c>
      <c r="Z58" s="1171">
        <v>0</v>
      </c>
      <c r="AA58" s="1171">
        <v>0</v>
      </c>
      <c r="AB58" s="1171">
        <v>0</v>
      </c>
      <c r="AC58" s="1171">
        <v>24</v>
      </c>
      <c r="AD58" s="1171">
        <v>24</v>
      </c>
      <c r="AE58" s="1171">
        <v>24</v>
      </c>
      <c r="AF58" s="1171">
        <v>11</v>
      </c>
      <c r="AG58" s="1171">
        <v>3</v>
      </c>
      <c r="AH58" s="1171">
        <v>11</v>
      </c>
      <c r="AI58" s="1171">
        <v>0</v>
      </c>
      <c r="AJ58" s="1171">
        <v>4</v>
      </c>
      <c r="AK58" s="1171">
        <v>115</v>
      </c>
      <c r="AL58" s="527">
        <v>10</v>
      </c>
      <c r="AM58" s="527">
        <v>10</v>
      </c>
      <c r="AN58" s="527">
        <v>10</v>
      </c>
      <c r="AO58" s="527">
        <v>10</v>
      </c>
      <c r="AP58" s="527">
        <v>10</v>
      </c>
      <c r="AQ58" s="117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F7E33-F5EC-5DB3-957D-DDF6ACEF3F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4" style="1651" width="24.7109375" hidden="1" customWidth="1"/>
    <col min="25" max="25" style="1651" width="11.7109375" hidden="1" customWidth="1"/>
    <col min="26" max="26" style="1651" width="3.7109375" hidden="1" customWidth="1"/>
    <col min="27" max="27" style="1651" width="11.7109375" hidden="1" customWidth="1"/>
    <col min="28" max="28" style="1651" width="8.57421875" hidden="1" customWidth="1"/>
    <col min="29" max="29" style="1651" width="24.7109375" customWidth="1"/>
    <col min="30" max="31" style="1651" width="24.00390625" customWidth="1"/>
    <col min="32" max="32" style="1651" width="11.00390625" customWidth="1"/>
    <col min="33" max="33" style="1651" width="3.7109375" customWidth="1"/>
    <col min="34" max="34" style="1651" width="11.00390625" customWidth="1"/>
    <col min="35" max="35" style="1651" width="8.57421875" hidden="1" customWidth="1"/>
    <col min="36" max="36" style="1651" width="4.00390625" customWidth="1"/>
    <col min="37" max="37" style="1651" width="115.00390625" customWidth="1"/>
    <col min="38" max="42" style="1658" width="10.00390625" customWidth="1"/>
    <col min="43" max="43" style="1651" width="10.57421875" hidden="1"/>
  </cols>
  <sheetData>
    <row customHeight="1" ht="22.5" hidden="1">
      <c r="X1" s="343"/>
      <c r="Y1" s="343"/>
      <c r="AE1" s="343"/>
      <c r="AF1" s="343"/>
      <c r="AQ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509">
        <f>INDEX(PT_DIFFERENTIATION_NUM_NTAR,MATCH(A2,PT_DIFFERENTIATION_NTAR_ID,0))</f>
      </c>
      <c r="T2" s="314" t="s">
        <v>192</v>
      </c>
      <c r="U2" s="316"/>
      <c r="V2" s="2258"/>
      <c r="W2" s="2259"/>
      <c r="X2" s="2259"/>
      <c r="Y2" s="2259"/>
      <c r="Z2" s="2259"/>
      <c r="AA2" s="2259"/>
      <c r="AB2" s="2260"/>
      <c r="AC2" s="2258">
        <f>INDEX(PT_DIFFERENTIATION_NTAR,MATCH(A2,PT_DIFFERENTIATION_NTAR_ID,0))</f>
      </c>
      <c r="AD2" s="2259"/>
      <c r="AE2" s="2259"/>
      <c r="AF2" s="2259"/>
      <c r="AG2" s="2259"/>
      <c r="AH2" s="2259"/>
      <c r="AI2" s="2259"/>
      <c r="AJ2" s="2260"/>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6"/>
      <c r="AN2" s="516" t="str">
        <f>IF(T2="","",T2)</f>
        <v>Наименование тарифа</v>
      </c>
      <c r="AO2" s="516"/>
      <c r="AP2" s="516"/>
      <c r="AQ2" s="1171">
        <v>0</v>
      </c>
    </row>
    <row customHeight="1" ht="23.25" hidden="1">
      <c r="A3" s="1379"/>
      <c r="B3" s="1379"/>
      <c r="C3" s="1379"/>
      <c r="D3" s="1379"/>
      <c r="E3" s="2275"/>
      <c r="F3" s="2274">
        <v>1</v>
      </c>
      <c r="G3" s="1379"/>
      <c r="H3" s="1379"/>
      <c r="I3" s="1379"/>
      <c r="J3" s="1379"/>
      <c r="K3" s="1379"/>
      <c r="L3" s="1380"/>
      <c r="M3" s="1381"/>
      <c r="N3" s="1381"/>
      <c r="O3" s="1381"/>
      <c r="P3" s="1503"/>
      <c r="Q3" s="368"/>
      <c r="R3" s="369"/>
      <c r="S3" s="1509">
        <f>INDEX(PT_DIFFERENTIATION_NUM_TER,MATCH(B3,PT_DIFFERENTIATION_TER_ID,0))</f>
      </c>
      <c r="T3" s="324" t="s">
        <v>550</v>
      </c>
      <c r="U3" s="316"/>
      <c r="V3" s="2258"/>
      <c r="W3" s="2259"/>
      <c r="X3" s="2259"/>
      <c r="Y3" s="2259"/>
      <c r="Z3" s="2259"/>
      <c r="AA3" s="2259"/>
      <c r="AB3" s="2260"/>
      <c r="AC3" s="2258">
        <f>INDEX(PT_DIFFERENTIATION_TER,MATCH(B3,PT_DIFFERENTIATION_TER_ID,0))</f>
      </c>
      <c r="AD3" s="2259"/>
      <c r="AE3" s="2259"/>
      <c r="AF3" s="2259"/>
      <c r="AG3" s="2259"/>
      <c r="AH3" s="2259"/>
      <c r="AI3" s="2259"/>
      <c r="AJ3" s="2260"/>
      <c r="AK3" s="1274" t="s">
        <v>551</v>
      </c>
      <c r="AM3" s="516"/>
      <c r="AN3" s="516" t="str">
        <f>IF(T3="","",T3)</f>
        <v>Территория действия тарифа</v>
      </c>
      <c r="AO3" s="516"/>
      <c r="AP3" s="516"/>
      <c r="AQ3" s="1171">
        <v>0</v>
      </c>
    </row>
    <row customHeight="1" ht="23.25" hidden="1">
      <c r="A4" s="1379"/>
      <c r="B4" s="1379"/>
      <c r="C4" s="1379"/>
      <c r="D4" s="1379"/>
      <c r="E4" s="2275"/>
      <c r="F4" s="2275"/>
      <c r="G4" s="2274">
        <v>1</v>
      </c>
      <c r="H4" s="1379"/>
      <c r="I4" s="1379"/>
      <c r="J4" s="1379"/>
      <c r="K4" s="1379"/>
      <c r="L4" s="1380"/>
      <c r="M4" s="1381"/>
      <c r="N4" s="1381"/>
      <c r="O4" s="1381"/>
      <c r="P4" s="370"/>
      <c r="Q4" s="368"/>
      <c r="R4" s="369"/>
      <c r="S4" s="1509">
        <f>INDEX(PT_DIFFERENTIATION_NUM_CS,MATCH(C4,PT_DIFFERENTIATION_CS_ID,0))</f>
      </c>
      <c r="T4" s="325" t="s">
        <v>669</v>
      </c>
      <c r="U4" s="316"/>
      <c r="V4" s="2258"/>
      <c r="W4" s="2259"/>
      <c r="X4" s="2259"/>
      <c r="Y4" s="2259"/>
      <c r="Z4" s="2259"/>
      <c r="AA4" s="2259"/>
      <c r="AB4" s="2260"/>
      <c r="AC4" s="2258">
        <f>INDEX(PT_DIFFERENTIATION_CS,MATCH(C4,PT_DIFFERENTIATION_CS_ID,0))</f>
      </c>
      <c r="AD4" s="2259"/>
      <c r="AE4" s="2259"/>
      <c r="AF4" s="2259"/>
      <c r="AG4" s="2259"/>
      <c r="AH4" s="2259"/>
      <c r="AI4" s="2259"/>
      <c r="AJ4" s="2260"/>
      <c r="AK4" s="1274" t="s">
        <v>670</v>
      </c>
      <c r="AM4" s="516"/>
      <c r="AN4" s="516" t="str">
        <f>IF(T4="","",T4)</f>
        <v>Наименование централизованной системы водоотведения</v>
      </c>
      <c r="AO4" s="516"/>
      <c r="AP4" s="516"/>
      <c r="AQ4" s="1171">
        <v>0</v>
      </c>
    </row>
    <row customHeight="1" ht="23.25" hidden="1">
      <c r="A5" s="1379"/>
      <c r="B5" s="1379"/>
      <c r="C5" s="1379"/>
      <c r="D5" s="1379"/>
      <c r="E5" s="2275"/>
      <c r="F5" s="2275"/>
      <c r="G5" s="2275"/>
      <c r="H5" s="2275"/>
      <c r="I5" s="2272">
        <f>S4&amp;".1"</f>
      </c>
      <c r="J5" s="1379"/>
      <c r="K5" s="1379"/>
      <c r="L5" s="1380"/>
      <c r="P5" s="2273">
        <v>1</v>
      </c>
      <c r="Q5" s="1497"/>
      <c r="R5" s="372"/>
      <c r="S5" s="1509">
        <f>$I5</f>
      </c>
      <c r="T5" s="301" t="s">
        <v>636</v>
      </c>
      <c r="U5" s="316"/>
      <c r="V5" s="2366"/>
      <c r="W5" s="2367"/>
      <c r="X5" s="2367"/>
      <c r="Y5" s="2367"/>
      <c r="Z5" s="2367"/>
      <c r="AA5" s="2367"/>
      <c r="AB5" s="2368"/>
      <c r="AC5" s="2369"/>
      <c r="AD5" s="2370"/>
      <c r="AE5" s="2370"/>
      <c r="AF5" s="2370"/>
      <c r="AG5" s="2370"/>
      <c r="AH5" s="2370"/>
      <c r="AI5" s="2370"/>
      <c r="AJ5" s="2371"/>
      <c r="AK5" s="1274" t="s">
        <v>637</v>
      </c>
      <c r="AM5" s="516"/>
      <c r="AN5" s="516" t="str">
        <f>IF(T5="","",T5)</f>
        <v>Наименование признака дифференциации</v>
      </c>
      <c r="AO5" s="516"/>
      <c r="AP5" s="516"/>
      <c r="AQ5" s="1171">
        <v>0</v>
      </c>
    </row>
    <row customHeight="1" ht="23.25" hidden="1">
      <c r="A6" s="1379"/>
      <c r="B6" s="1379"/>
      <c r="C6" s="1379"/>
      <c r="D6" s="1379"/>
      <c r="E6" s="2275"/>
      <c r="F6" s="2275"/>
      <c r="G6" s="2275"/>
      <c r="H6" s="2275"/>
      <c r="I6" s="2302"/>
      <c r="J6" s="2272">
        <f>I5&amp;".1"</f>
      </c>
      <c r="K6" s="1379"/>
      <c r="L6" s="1380" t="s">
        <v>559</v>
      </c>
      <c r="P6" s="2273"/>
      <c r="Q6" s="2273">
        <v>1</v>
      </c>
      <c r="R6" s="373"/>
      <c r="S6" s="1509">
        <f>$J6</f>
      </c>
      <c r="T6" s="302" t="s">
        <v>560</v>
      </c>
      <c r="U6" s="316"/>
      <c r="V6" s="2261"/>
      <c r="W6" s="2262"/>
      <c r="X6" s="2262"/>
      <c r="Y6" s="2262"/>
      <c r="Z6" s="2262"/>
      <c r="AA6" s="2262"/>
      <c r="AB6" s="2263"/>
      <c r="AC6" s="2261"/>
      <c r="AD6" s="2262"/>
      <c r="AE6" s="2262"/>
      <c r="AF6" s="2262"/>
      <c r="AG6" s="2262"/>
      <c r="AH6" s="2262"/>
      <c r="AI6" s="2262"/>
      <c r="AJ6" s="2263"/>
      <c r="AK6" s="1323" t="s">
        <v>638</v>
      </c>
      <c r="AM6" s="516"/>
      <c r="AN6" s="516" t="str">
        <f>IF(T6="","",T6)</f>
        <v>Группа потребителей</v>
      </c>
      <c r="AO6" s="516"/>
      <c r="AP6" s="516"/>
      <c r="AQ6" s="1171">
        <v>0</v>
      </c>
    </row>
    <row customHeight="1" ht="23.25" hidden="1">
      <c r="A7" s="1379"/>
      <c r="B7" s="1379"/>
      <c r="C7" s="1379"/>
      <c r="D7" s="1379"/>
      <c r="E7" s="2275"/>
      <c r="F7" s="2275"/>
      <c r="G7" s="2275"/>
      <c r="H7" s="2275"/>
      <c r="I7" s="2302"/>
      <c r="J7" s="2302"/>
      <c r="K7" s="2272">
        <f>J6&amp;".1"</f>
      </c>
      <c r="L7" s="1380"/>
      <c r="P7" s="2273"/>
      <c r="Q7" s="2273"/>
      <c r="R7" s="373">
        <v>1</v>
      </c>
      <c r="S7" s="1509">
        <f>$K7</f>
      </c>
      <c r="T7" s="1453"/>
      <c r="U7" s="316"/>
      <c r="V7" s="767"/>
      <c r="W7" s="767"/>
      <c r="X7" s="1273"/>
      <c r="Y7" s="2281"/>
      <c r="Z7" s="2123" t="s">
        <v>64</v>
      </c>
      <c r="AA7" s="2281"/>
      <c r="AB7" s="2123" t="s">
        <v>64</v>
      </c>
      <c r="AC7" s="767"/>
      <c r="AD7" s="767"/>
      <c r="AE7" s="1273"/>
      <c r="AF7" s="2281"/>
      <c r="AG7" s="2123" t="s">
        <v>64</v>
      </c>
      <c r="AH7" s="2303"/>
      <c r="AI7" s="2123" t="s">
        <v>64</v>
      </c>
      <c r="AJ7" s="1454"/>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7">
        <f>STRCHECKDATE(V8:AJ8)</f>
      </c>
      <c r="AM7" s="516"/>
      <c r="AN7" s="516" t="str">
        <f>IF(T7="","",T7)</f>
        <v/>
      </c>
      <c r="AO7" s="516"/>
      <c r="AP7" s="516"/>
      <c r="AQ7" s="1171">
        <v>0</v>
      </c>
    </row>
    <row customHeight="1" ht="14.25" hidden="1">
      <c r="A8" s="1379"/>
      <c r="B8" s="1379"/>
      <c r="C8" s="1379"/>
      <c r="D8" s="1379"/>
      <c r="E8" s="2275"/>
      <c r="F8" s="2275"/>
      <c r="G8" s="2275"/>
      <c r="H8" s="2275"/>
      <c r="I8" s="2302"/>
      <c r="J8" s="2302"/>
      <c r="K8" s="2272"/>
      <c r="L8" s="1380"/>
      <c r="P8" s="2273"/>
      <c r="Q8" s="2273"/>
      <c r="R8" s="373"/>
      <c r="S8" s="1506"/>
      <c r="T8" s="316"/>
      <c r="U8" s="316"/>
      <c r="V8" s="341"/>
      <c r="W8" s="341"/>
      <c r="X8" s="344" t="str">
        <f>Y7&amp;"-"&amp;AA7</f>
        <v>-</v>
      </c>
      <c r="Y8" s="2282"/>
      <c r="Z8" s="2123"/>
      <c r="AA8" s="2282"/>
      <c r="AB8" s="2123"/>
      <c r="AC8" s="341"/>
      <c r="AD8" s="341"/>
      <c r="AE8" s="344" t="str">
        <f>AF7&amp;"-"&amp;AH7</f>
        <v>-</v>
      </c>
      <c r="AF8" s="2282"/>
      <c r="AG8" s="2123"/>
      <c r="AH8" s="2304"/>
      <c r="AI8" s="2123"/>
      <c r="AJ8" s="1455"/>
      <c r="AK8" s="2365"/>
      <c r="AM8" s="516"/>
      <c r="AN8" s="516" t="str">
        <f>IF(T8="","",T8)</f>
        <v/>
      </c>
      <c r="AO8" s="516"/>
      <c r="AP8" s="516"/>
      <c r="AQ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383"/>
      <c r="X9" s="383"/>
      <c r="Y9" s="383"/>
      <c r="Z9" s="383"/>
      <c r="AA9" s="383"/>
      <c r="AB9" s="383"/>
      <c r="AC9" s="383"/>
      <c r="AD9" s="383"/>
      <c r="AE9" s="383"/>
      <c r="AF9" s="383"/>
      <c r="AG9" s="383"/>
      <c r="AH9" s="383"/>
      <c r="AI9" s="383"/>
      <c r="AJ9" s="383"/>
      <c r="AK9" s="1274" t="s">
        <v>640</v>
      </c>
      <c r="AM9" s="516"/>
      <c r="AN9" s="516" t="str">
        <f>IF(T9="","",T9)</f>
        <v>Добавить значение признака дифференциации</v>
      </c>
      <c r="AO9" s="516"/>
      <c r="AP9" s="516"/>
      <c r="AQ9" s="1171">
        <v>0</v>
      </c>
    </row>
    <row customHeight="1" ht="21" hidden="1">
      <c r="A10" s="1379"/>
      <c r="B10" s="1379"/>
      <c r="C10" s="1379"/>
      <c r="D10" s="1379"/>
      <c r="E10" s="2275"/>
      <c r="F10" s="2275"/>
      <c r="G10" s="2275"/>
      <c r="H10" s="2275"/>
      <c r="I10" s="2272"/>
      <c r="J10" s="1379"/>
      <c r="K10" s="1379"/>
      <c r="L10" s="1380"/>
      <c r="P10" s="2273"/>
      <c r="Q10" s="1497"/>
      <c r="R10" s="372"/>
      <c r="S10" s="1294"/>
      <c r="T10" s="381" t="s">
        <v>565</v>
      </c>
      <c r="U10" s="383"/>
      <c r="V10" s="383"/>
      <c r="W10" s="383"/>
      <c r="X10" s="383"/>
      <c r="Y10" s="383"/>
      <c r="Z10" s="383"/>
      <c r="AA10" s="383"/>
      <c r="AB10" s="382"/>
      <c r="AC10" s="383"/>
      <c r="AD10" s="383"/>
      <c r="AE10" s="383"/>
      <c r="AF10" s="383"/>
      <c r="AG10" s="383"/>
      <c r="AH10" s="383"/>
      <c r="AI10" s="382"/>
      <c r="AJ10" s="383"/>
      <c r="AK10" s="1456"/>
      <c r="AM10" s="516"/>
      <c r="AN10" s="516" t="str">
        <f>IF(T10="","",T10)</f>
        <v>Добавить группу потребителей</v>
      </c>
      <c r="AO10" s="516"/>
      <c r="AP10" s="516"/>
      <c r="AQ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383"/>
      <c r="X11" s="383"/>
      <c r="Y11" s="383"/>
      <c r="Z11" s="383"/>
      <c r="AA11" s="383"/>
      <c r="AB11" s="382"/>
      <c r="AC11" s="383"/>
      <c r="AD11" s="383"/>
      <c r="AE11" s="383"/>
      <c r="AF11" s="383"/>
      <c r="AG11" s="383"/>
      <c r="AH11" s="383"/>
      <c r="AI11" s="382"/>
      <c r="AJ11" s="383"/>
      <c r="AK11" s="319"/>
      <c r="AM11" s="516"/>
      <c r="AN11" s="516" t="str">
        <f>IF(T11="","",T11)</f>
        <v>Добавить наименование признака дифференциации</v>
      </c>
      <c r="AO11" s="516"/>
      <c r="AP11" s="516"/>
      <c r="AQ11" s="1171">
        <v>0</v>
      </c>
    </row>
    <row s="1658" customFormat="1" customHeight="1" ht="14.25" hidden="1">
      <c r="A12" s="1359"/>
      <c r="B12" s="1359"/>
      <c r="C12" s="1330"/>
      <c r="D12" s="1330"/>
      <c r="E12" s="2275"/>
      <c r="F12" s="2274"/>
      <c r="G12" s="1330"/>
      <c r="H12" s="1330"/>
      <c r="I12" s="1330"/>
      <c r="J12" s="1330"/>
      <c r="K12" s="1330"/>
      <c r="L12" s="1510"/>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M12" s="805"/>
      <c r="AN12" s="805" t="str">
        <f>IF(T12="","",T12)</f>
        <v>Добавить централизованную систему для дифференциации</v>
      </c>
      <c r="AO12" s="805"/>
      <c r="AP12" s="805"/>
      <c r="AQ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M13" s="516"/>
      <c r="AN13" s="516" t="str">
        <f>IF(T13="","",T13)</f>
        <v>Добавить территорию для дифференциации</v>
      </c>
      <c r="AO13" s="516"/>
      <c r="AP13" s="516"/>
      <c r="AQ13" s="527">
        <v>0</v>
      </c>
    </row>
    <row customHeight="1" ht="14.25" hidden="1">
      <c r="AB14" s="343"/>
      <c r="AI14" s="343"/>
      <c r="AQ14" s="1171">
        <v>0</v>
      </c>
    </row>
    <row customHeight="1" ht="14.25" hidden="1">
      <c r="AC15" s="1376"/>
      <c r="AD15" s="1376"/>
      <c r="AE15" s="1377"/>
      <c r="AF15" s="2283"/>
      <c r="AG15" s="2284" t="s">
        <v>64</v>
      </c>
      <c r="AH15" s="2283"/>
      <c r="AI15" s="2284" t="s">
        <v>64</v>
      </c>
      <c r="AQ15" s="1171">
        <v>0</v>
      </c>
    </row>
    <row customHeight="1" ht="14.25" hidden="1">
      <c r="AC16" s="1376"/>
      <c r="AD16" s="1376"/>
      <c r="AE16" s="344" t="str">
        <f>AF15&amp;"-"&amp;AH15</f>
        <v>-</v>
      </c>
      <c r="AF16" s="2284"/>
      <c r="AG16" s="2284"/>
      <c r="AH16" s="2284"/>
      <c r="AI16" s="2284"/>
      <c r="AQ16" s="1171">
        <v>0</v>
      </c>
    </row>
    <row customHeight="1" ht="14.25" hidden="1">
      <c r="AI17" s="343"/>
      <c r="AQ17" s="1171">
        <v>0</v>
      </c>
    </row>
    <row s="1382" customFormat="1" customHeight="1" ht="22.5" hidden="1">
      <c r="L18" s="1494"/>
      <c r="M18" s="1378"/>
      <c r="N18" s="1378"/>
      <c r="O18" s="1383" t="s">
        <v>567</v>
      </c>
      <c r="P18" s="1378"/>
      <c r="Q18" s="1387"/>
      <c r="R18" s="1387"/>
      <c r="S18" s="745"/>
      <c r="Y18" s="1383"/>
      <c r="AA18" s="1383"/>
      <c r="AB18" s="1382"/>
      <c r="AF18" s="1383"/>
      <c r="AH18" s="1383"/>
      <c r="AI18" s="1382"/>
      <c r="AL18" s="527"/>
      <c r="AM18" s="527"/>
      <c r="AN18" s="527"/>
      <c r="AO18" s="527"/>
      <c r="AP18" s="527"/>
      <c r="AQ18" s="1176">
        <v>0</v>
      </c>
    </row>
    <row s="1382" customFormat="1" customHeight="1" ht="14.25" hidden="1">
      <c r="L19" s="1494"/>
      <c r="M19" s="1378"/>
      <c r="N19" s="1378"/>
      <c r="O19" s="1378"/>
      <c r="P19" s="1378"/>
      <c r="Q19" s="1387"/>
      <c r="R19" s="1387"/>
      <c r="S19" s="745"/>
      <c r="AB19" s="1382"/>
      <c r="AI19" s="1382"/>
      <c r="AL19" s="527"/>
      <c r="AM19" s="527"/>
      <c r="AN19" s="527"/>
      <c r="AO19" s="527"/>
      <c r="AP19" s="527"/>
      <c r="AQ19" s="1176">
        <v>0</v>
      </c>
    </row>
    <row s="1382" customFormat="1" customHeight="1" ht="12" hidden="1">
      <c r="L20" s="1494"/>
      <c r="M20" s="1378"/>
      <c r="N20" s="1378"/>
      <c r="O20" s="1380" t="s">
        <v>568</v>
      </c>
      <c r="P20" s="1378"/>
      <c r="Q20" s="1458"/>
      <c r="R20" s="1458"/>
      <c r="S20" s="745"/>
      <c r="T20" s="1176" t="s">
        <v>569</v>
      </c>
      <c r="Z20" s="202" t="s">
        <v>570</v>
      </c>
      <c r="AB20" s="202" t="s">
        <v>571</v>
      </c>
      <c r="AC20" s="1176" t="s">
        <v>569</v>
      </c>
      <c r="AG20" s="202" t="s">
        <v>572</v>
      </c>
      <c r="AI20" s="202" t="s">
        <v>571</v>
      </c>
      <c r="AQ20" s="1176">
        <v>0</v>
      </c>
    </row>
    <row customHeight="1" ht="14.25" hidden="1">
      <c r="O21" s="1380"/>
      <c r="AQ21" s="1171">
        <v>0</v>
      </c>
    </row>
    <row customHeight="1" ht="14.25" hidden="1">
      <c r="O22" s="1380"/>
      <c r="AQ22" s="1171">
        <v>0</v>
      </c>
    </row>
    <row customHeight="1" ht="14.699999999999998">
      <c r="Q23" s="392"/>
      <c r="R23" s="392"/>
      <c r="S23" s="1291"/>
      <c r="T23" s="379"/>
      <c r="U23" s="379"/>
      <c r="V23" s="525"/>
      <c r="W23" s="525"/>
      <c r="X23" s="525"/>
      <c r="Y23" s="525"/>
      <c r="Z23" s="525"/>
      <c r="AA23" s="525"/>
      <c r="AB23" s="525"/>
      <c r="AC23" s="525"/>
      <c r="AD23" s="525"/>
      <c r="AE23" s="525"/>
      <c r="AF23" s="525"/>
      <c r="AG23" s="525"/>
      <c r="AH23" s="525"/>
      <c r="AI23" s="525"/>
      <c r="AQ23" s="1171">
        <v>14</v>
      </c>
    </row>
    <row customHeight="1" ht="14.699999999999998">
      <c r="Q24" s="392"/>
      <c r="R24" s="392"/>
      <c r="S24" s="226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4"/>
      <c r="U24" s="2264"/>
      <c r="V24" s="2264"/>
      <c r="W24" s="2264"/>
      <c r="X24" s="2264"/>
      <c r="Y24" s="2264"/>
      <c r="Z24" s="2264"/>
      <c r="AA24" s="2264"/>
      <c r="AB24" s="2264"/>
      <c r="AC24" s="2264"/>
      <c r="AD24" s="2264"/>
      <c r="AE24" s="2264"/>
      <c r="AF24" s="2264"/>
      <c r="AG24" s="2264"/>
      <c r="AH24" s="2264"/>
      <c r="AI24" s="1259"/>
      <c r="AQ24" s="1171">
        <v>14</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1259"/>
      <c r="AQ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525"/>
      <c r="AQ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342"/>
      <c r="AC27" s="2267" t="str">
        <f>IF(TITLE_NAME_OR_PR_CHANGE="",IF(TITLE_NAME_OR_PR="","",TITLE_NAME_OR_PR),TITLE_NAME_OR_PR_CHANGE)</f>
        <v>Агентство по тарифам Приморского края</v>
      </c>
      <c r="AD27" s="2267"/>
      <c r="AE27" s="2267"/>
      <c r="AF27" s="2267"/>
      <c r="AG27" s="2267"/>
      <c r="AH27" s="2267"/>
      <c r="AI27" s="342"/>
      <c r="AJ27" s="342"/>
      <c r="AK27" s="296"/>
      <c r="AL27" s="384"/>
      <c r="AM27" s="384"/>
      <c r="AN27" s="384"/>
      <c r="AO27" s="384"/>
      <c r="AP27" s="384"/>
      <c r="AQ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342"/>
      <c r="AC28" s="2280" t="str">
        <f>IF(TITLE_DATE_PR_CHANGE="",IF(TITLE_DATE_PR="","",TITLE_DATE_PR),TITLE_DATE_PR_CHANGE)</f>
        <v>45910</v>
      </c>
      <c r="AD28" s="2280"/>
      <c r="AE28" s="2280"/>
      <c r="AF28" s="2280"/>
      <c r="AG28" s="2280"/>
      <c r="AH28" s="2280"/>
      <c r="AI28" s="342"/>
      <c r="AJ28" s="342"/>
      <c r="AK28" s="296"/>
      <c r="AL28" s="384"/>
      <c r="AM28" s="384"/>
      <c r="AN28" s="384"/>
      <c r="AO28" s="384"/>
      <c r="AP28" s="384"/>
      <c r="AQ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342"/>
      <c r="AC29" s="2267" t="str">
        <f>IF(TITLE_NUMBER_PR_CHANGE="",IF(TITLE_NUMBER_PR="","",TITLE_NUMBER_PR),TITLE_NUMBER_PR_CHANGE)</f>
        <v>37/2</v>
      </c>
      <c r="AD29" s="2267"/>
      <c r="AE29" s="2267"/>
      <c r="AF29" s="2267"/>
      <c r="AG29" s="2267"/>
      <c r="AH29" s="2267"/>
      <c r="AI29" s="342"/>
      <c r="AJ29" s="342"/>
      <c r="AK29" s="296"/>
      <c r="AL29" s="384"/>
      <c r="AM29" s="384"/>
      <c r="AN29" s="384"/>
      <c r="AO29" s="384"/>
      <c r="AP29" s="384"/>
      <c r="AQ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342"/>
      <c r="AC30" s="2267" t="str">
        <f>IF(TITLE_IST_PUB_CHANGE="",IF(TITLE_IST_PUB="","",TITLE_IST_PUB),TITLE_IST_PUB_CHANGE)</f>
        <v>http://pravo.gov.ru</v>
      </c>
      <c r="AD30" s="2267"/>
      <c r="AE30" s="2267"/>
      <c r="AF30" s="2267"/>
      <c r="AG30" s="2267"/>
      <c r="AH30" s="2267"/>
      <c r="AI30" s="342"/>
      <c r="AJ30" s="342"/>
      <c r="AK30" s="296"/>
      <c r="AL30" s="384"/>
      <c r="AM30" s="384"/>
      <c r="AN30" s="384"/>
      <c r="AO30" s="384"/>
      <c r="AP30" s="384"/>
      <c r="AQ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525"/>
      <c r="AQ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342"/>
      <c r="AC32" s="2280" t="str">
        <f>IF(TITLE_DATE_PR_CHANGE="",IF(TITLE_DATE_PR="","",TITLE_DATE_PR),TITLE_DATE_PR_CHANGE)</f>
        <v>45910</v>
      </c>
      <c r="AD32" s="2280"/>
      <c r="AE32" s="2280"/>
      <c r="AF32" s="2280"/>
      <c r="AG32" s="2280"/>
      <c r="AH32" s="2280"/>
      <c r="AI32" s="342"/>
      <c r="AJ32" s="342"/>
      <c r="AK32" s="296"/>
      <c r="AL32" s="384"/>
      <c r="AM32" s="384"/>
      <c r="AN32" s="384"/>
      <c r="AO32" s="384"/>
      <c r="AP32" s="384"/>
      <c r="AQ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342"/>
      <c r="AC33" s="2267" t="str">
        <f>IF(TITLE_NUMBER_PR_CHANGE="",IF(TITLE_NUMBER_PR="","",TITLE_NUMBER_PR),TITLE_NUMBER_PR_CHANGE)</f>
        <v>37/2</v>
      </c>
      <c r="AD33" s="2267"/>
      <c r="AE33" s="2267"/>
      <c r="AF33" s="2267"/>
      <c r="AG33" s="2267"/>
      <c r="AH33" s="2267"/>
      <c r="AI33" s="342"/>
      <c r="AJ33" s="342"/>
      <c r="AK33" s="296"/>
      <c r="AL33" s="384"/>
      <c r="AM33" s="384"/>
      <c r="AN33" s="384"/>
      <c r="AO33" s="384"/>
      <c r="AP33" s="384"/>
      <c r="AQ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504"/>
      <c r="V34" s="342"/>
      <c r="W34" s="342"/>
      <c r="X34" s="342"/>
      <c r="Y34" s="342"/>
      <c r="Z34" s="342"/>
      <c r="AA34" s="342"/>
      <c r="AB34" s="294" t="s">
        <v>577</v>
      </c>
      <c r="AC34" s="342"/>
      <c r="AD34" s="342"/>
      <c r="AE34" s="342"/>
      <c r="AF34" s="342"/>
      <c r="AG34" s="342"/>
      <c r="AH34" s="342"/>
      <c r="AI34" s="294" t="s">
        <v>577</v>
      </c>
      <c r="AL34" s="384"/>
      <c r="AM34" s="384"/>
      <c r="AN34" s="384"/>
      <c r="AO34" s="384"/>
      <c r="AP34" s="384"/>
      <c r="AQ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Q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t="s">
        <v>454</v>
      </c>
      <c r="AQ36" s="1171">
        <v>14</v>
      </c>
    </row>
    <row customHeight="1" ht="14.699999999999998">
      <c r="Q37" s="392"/>
      <c r="R37" s="392"/>
      <c r="S37" s="2289" t="s">
        <v>91</v>
      </c>
      <c r="T37" s="2225" t="s">
        <v>578</v>
      </c>
      <c r="U37" s="317"/>
      <c r="V37" s="2290" t="s">
        <v>579</v>
      </c>
      <c r="W37" s="2291"/>
      <c r="X37" s="2291"/>
      <c r="Y37" s="2291"/>
      <c r="Z37" s="2291"/>
      <c r="AA37" s="2292"/>
      <c r="AB37" s="2293" t="s">
        <v>580</v>
      </c>
      <c r="AC37" s="2290" t="s">
        <v>579</v>
      </c>
      <c r="AD37" s="2291"/>
      <c r="AE37" s="2291"/>
      <c r="AF37" s="2291"/>
      <c r="AG37" s="2291"/>
      <c r="AH37" s="2292"/>
      <c r="AI37" s="2293" t="s">
        <v>581</v>
      </c>
      <c r="AJ37" s="2296" t="s">
        <v>582</v>
      </c>
      <c r="AK37" s="2143"/>
      <c r="AQ37" s="1171">
        <v>14</v>
      </c>
    </row>
    <row customHeight="1" ht="35.699999999999996">
      <c r="Q38" s="392"/>
      <c r="R38" s="392"/>
      <c r="S38" s="2289"/>
      <c r="T38" s="2225"/>
      <c r="U38" s="1047"/>
      <c r="V38" s="1499" t="s">
        <v>642</v>
      </c>
      <c r="W38" s="2278" t="s">
        <v>585</v>
      </c>
      <c r="X38" s="2279"/>
      <c r="Y38" s="2278" t="s">
        <v>586</v>
      </c>
      <c r="Z38" s="2285"/>
      <c r="AA38" s="2279"/>
      <c r="AB38" s="2294"/>
      <c r="AC38" s="1499" t="s">
        <v>642</v>
      </c>
      <c r="AD38" s="2278" t="s">
        <v>585</v>
      </c>
      <c r="AE38" s="2279"/>
      <c r="AF38" s="2278" t="s">
        <v>586</v>
      </c>
      <c r="AG38" s="2285"/>
      <c r="AH38" s="2279"/>
      <c r="AI38" s="2294"/>
      <c r="AJ38" s="2297"/>
      <c r="AK38" s="2143"/>
      <c r="AQ38" s="1171">
        <v>34</v>
      </c>
    </row>
    <row customHeight="1" ht="90.3">
      <c r="A39" s="1386"/>
      <c r="B39" s="1386" t="s">
        <v>204</v>
      </c>
      <c r="C39" s="1386" t="s">
        <v>205</v>
      </c>
      <c r="D39" s="1386" t="s">
        <v>206</v>
      </c>
      <c r="E39" s="1380" t="s">
        <v>587</v>
      </c>
      <c r="F39" s="1380" t="s">
        <v>588</v>
      </c>
      <c r="G39" s="1380" t="s">
        <v>589</v>
      </c>
      <c r="H39" s="1380"/>
      <c r="I39" s="1380" t="s">
        <v>643</v>
      </c>
      <c r="J39" s="1380" t="s">
        <v>592</v>
      </c>
      <c r="K39" s="1380" t="s">
        <v>644</v>
      </c>
      <c r="L39" s="1380" t="s">
        <v>568</v>
      </c>
      <c r="Q39" s="392"/>
      <c r="R39" s="392"/>
      <c r="S39" s="2289"/>
      <c r="T39" s="2225"/>
      <c r="U39" s="318"/>
      <c r="V39" s="1499" t="s">
        <v>671</v>
      </c>
      <c r="W39" s="1238" t="s">
        <v>672</v>
      </c>
      <c r="X39" s="1238" t="s">
        <v>647</v>
      </c>
      <c r="Y39" s="1505" t="s">
        <v>596</v>
      </c>
      <c r="Z39" s="2286" t="s">
        <v>597</v>
      </c>
      <c r="AA39" s="2287"/>
      <c r="AB39" s="2295"/>
      <c r="AC39" s="1499" t="s">
        <v>671</v>
      </c>
      <c r="AD39" s="1238" t="s">
        <v>672</v>
      </c>
      <c r="AE39" s="1238" t="s">
        <v>647</v>
      </c>
      <c r="AF39" s="1505" t="s">
        <v>596</v>
      </c>
      <c r="AG39" s="2286" t="s">
        <v>597</v>
      </c>
      <c r="AH39" s="2287"/>
      <c r="AI39" s="2295"/>
      <c r="AJ39" s="2298"/>
      <c r="AK39" s="2143"/>
      <c r="AQ39" s="1171">
        <v>86</v>
      </c>
    </row>
    <row s="1657" customFormat="1" customHeight="1" ht="0">
      <c r="A40" s="1386"/>
      <c r="B40" s="1386"/>
      <c r="C40" s="1386"/>
      <c r="D40" s="1386"/>
      <c r="E40" s="1386"/>
      <c r="F40" s="1386"/>
      <c r="G40" s="1386"/>
      <c r="H40" s="1386"/>
      <c r="I40" s="1386"/>
      <c r="J40" s="1386"/>
      <c r="K40" s="1386"/>
      <c r="L40" s="1380"/>
      <c r="M40" s="1378"/>
      <c r="N40" s="1378"/>
      <c r="O40" s="1378"/>
      <c r="P40" s="1262"/>
      <c r="Q40" s="1263"/>
      <c r="R40" s="1270">
        <v>1</v>
      </c>
      <c r="S40" s="1293" t="s">
        <v>141</v>
      </c>
      <c r="T40" s="1271" t="s">
        <v>107</v>
      </c>
      <c r="U40" s="1261" t="str">
        <f>OFFSET(U40,0,-1)</f>
        <v>2</v>
      </c>
      <c r="V40" s="1498">
        <f>OFFSET(V40,0,-1)+1</f>
        <v>3</v>
      </c>
      <c r="W40" s="1498">
        <f>OFFSET(W40,0,-1)+1</f>
        <v>4</v>
      </c>
      <c r="X40" s="1498">
        <f>OFFSET(X40,0,-1)+1</f>
        <v>5</v>
      </c>
      <c r="Y40" s="1498">
        <f>OFFSET(Y40,0,-1)+1</f>
        <v>6</v>
      </c>
      <c r="Z40" s="2288">
        <f>OFFSET(Z40,0,-1)+1</f>
        <v>7</v>
      </c>
      <c r="AA40" s="2288"/>
      <c r="AB40" s="1498">
        <f>OFFSET(AB40,0,-2)+1</f>
        <v>8</v>
      </c>
      <c r="AC40" s="1498">
        <f>OFFSET(AC40,0,-1)+1</f>
        <v>9</v>
      </c>
      <c r="AD40" s="1498">
        <f>OFFSET(AD40,0,-1)+1</f>
        <v>10</v>
      </c>
      <c r="AE40" s="1498">
        <f>OFFSET(AE40,0,-1)+1</f>
        <v>11</v>
      </c>
      <c r="AF40" s="1498">
        <f>OFFSET(AF40,0,-1)+1</f>
        <v>12</v>
      </c>
      <c r="AG40" s="2288">
        <f>OFFSET(AG40,0,-1)+1</f>
        <v>13</v>
      </c>
      <c r="AH40" s="2288"/>
      <c r="AI40" s="1498">
        <f>OFFSET(AI40,0,-2)+1</f>
        <v>14</v>
      </c>
      <c r="AJ40" s="1261">
        <f>OFFSET(AJ40,0,-1)</f>
        <v>14</v>
      </c>
      <c r="AK40" s="1498">
        <f>OFFSET(AK40,0,-1)+1</f>
        <v>15</v>
      </c>
      <c r="AL40" s="527"/>
      <c r="AM40" s="527"/>
      <c r="AN40" s="527"/>
      <c r="AO40" s="527"/>
      <c r="AP40" s="527"/>
      <c r="AQ40" s="512">
        <v>0</v>
      </c>
    </row>
    <row customHeight="1" ht="24">
      <c r="A41" s="1379" t="s">
        <v>424</v>
      </c>
      <c r="B41" s="1379"/>
      <c r="C41" s="1379"/>
      <c r="D41" s="1379"/>
      <c r="E41" s="2274">
        <v>1</v>
      </c>
      <c r="F41" s="1379"/>
      <c r="G41" s="1379"/>
      <c r="H41" s="1379"/>
      <c r="I41" s="1379"/>
      <c r="J41" s="1379"/>
      <c r="K41" s="1379"/>
      <c r="L41" s="1380"/>
      <c r="M41" s="1381"/>
      <c r="N41" s="1381"/>
      <c r="O41" s="1381"/>
      <c r="P41" s="377"/>
      <c r="Q41" s="376"/>
      <c r="R41" s="371"/>
      <c r="S41" s="1509">
        <f>INDEX(PT_DIFFERENTIATION_NUM_NTAR,MATCH(A41,PT_DIFFERENTIATION_NTAR_ID,0))</f>
        <v>0</v>
      </c>
      <c r="T41" s="314" t="s">
        <v>192</v>
      </c>
      <c r="U41" s="316"/>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6"/>
      <c r="AN41" s="516" t="str">
        <f>IF(T41="","",T41)</f>
        <v>Наименование тарифа</v>
      </c>
      <c r="AO41" s="516"/>
      <c r="AP41" s="516"/>
      <c r="AQ41" s="1171">
        <v>23</v>
      </c>
    </row>
    <row customHeight="1" ht="24">
      <c r="A42" s="1379" t="s">
        <v>424</v>
      </c>
      <c r="B42" s="1379" t="s">
        <v>425</v>
      </c>
      <c r="C42" s="1379"/>
      <c r="D42" s="1379"/>
      <c r="E42" s="2275"/>
      <c r="F42" s="2274">
        <v>1</v>
      </c>
      <c r="G42" s="1379"/>
      <c r="H42" s="1379"/>
      <c r="I42" s="1379"/>
      <c r="J42" s="1379"/>
      <c r="K42" s="1379"/>
      <c r="L42" s="1380"/>
      <c r="M42" s="1381"/>
      <c r="N42" s="1381"/>
      <c r="O42" s="1381"/>
      <c r="P42" s="1503"/>
      <c r="Q42" s="368"/>
      <c r="R42" s="369"/>
      <c r="S42" s="1509" t="str">
        <f>INDEX(PT_DIFFERENTIATION_NUM_TER,MATCH(B42,PT_DIFFERENTIATION_TER_ID,0))</f>
        <v>.</v>
      </c>
      <c r="T42" s="324" t="s">
        <v>550</v>
      </c>
      <c r="U42" s="316"/>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74" t="s">
        <v>551</v>
      </c>
      <c r="AM42" s="516"/>
      <c r="AN42" s="516" t="str">
        <f>IF(T42="","",T42)</f>
        <v>Территория действия тарифа</v>
      </c>
      <c r="AO42" s="516"/>
      <c r="AP42" s="516"/>
      <c r="AQ42" s="1171">
        <v>23</v>
      </c>
    </row>
    <row customHeight="1" ht="24">
      <c r="A43" s="1379" t="s">
        <v>424</v>
      </c>
      <c r="B43" s="1379" t="s">
        <v>425</v>
      </c>
      <c r="C43" s="1379" t="s">
        <v>426</v>
      </c>
      <c r="D43" s="1379"/>
      <c r="E43" s="2275"/>
      <c r="F43" s="2275"/>
      <c r="G43" s="2274">
        <v>1</v>
      </c>
      <c r="H43" s="1379"/>
      <c r="I43" s="1379"/>
      <c r="J43" s="1379"/>
      <c r="K43" s="1379"/>
      <c r="L43" s="1380"/>
      <c r="M43" s="1381"/>
      <c r="N43" s="1381"/>
      <c r="O43" s="1381"/>
      <c r="P43" s="370"/>
      <c r="Q43" s="368"/>
      <c r="R43" s="369"/>
      <c r="S43" s="1509" t="str">
        <f>INDEX(PT_DIFFERENTIATION_NUM_CS,MATCH(C43,PT_DIFFERENTIATION_CS_ID,0))</f>
        <v>..</v>
      </c>
      <c r="T43" s="325" t="s">
        <v>669</v>
      </c>
      <c r="U43" s="316"/>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74" t="s">
        <v>670</v>
      </c>
      <c r="AM43" s="516"/>
      <c r="AN43" s="516" t="str">
        <f>IF(T43="","",T43)</f>
        <v>Наименование централизованной системы водоотведения</v>
      </c>
      <c r="AO43" s="516"/>
      <c r="AP43" s="516"/>
      <c r="AQ43" s="1171">
        <v>23</v>
      </c>
    </row>
    <row customHeight="1" ht="24">
      <c r="A44" s="1379" t="s">
        <v>424</v>
      </c>
      <c r="B44" s="1379" t="s">
        <v>425</v>
      </c>
      <c r="C44" s="1379" t="s">
        <v>426</v>
      </c>
      <c r="D44" s="1379" t="s">
        <v>674</v>
      </c>
      <c r="E44" s="2275"/>
      <c r="F44" s="2275"/>
      <c r="G44" s="2275"/>
      <c r="H44" s="2275"/>
      <c r="I44" s="2272" t="str">
        <f>S43&amp;".1"</f>
        <v>...1</v>
      </c>
      <c r="J44" s="1379"/>
      <c r="K44" s="1379"/>
      <c r="L44" s="1380"/>
      <c r="P44" s="2273">
        <v>1</v>
      </c>
      <c r="Q44" s="1497"/>
      <c r="R44" s="372"/>
      <c r="S44" s="1509" t="str">
        <f>$I44</f>
        <v>...1</v>
      </c>
      <c r="T44" s="301" t="s">
        <v>636</v>
      </c>
      <c r="U44" s="316"/>
      <c r="V44" s="2366"/>
      <c r="W44" s="2367"/>
      <c r="X44" s="2367"/>
      <c r="Y44" s="2367"/>
      <c r="Z44" s="2367"/>
      <c r="AA44" s="2367"/>
      <c r="AB44" s="2368"/>
      <c r="AC44" s="2369"/>
      <c r="AD44" s="2370"/>
      <c r="AE44" s="2370"/>
      <c r="AF44" s="2370"/>
      <c r="AG44" s="2370"/>
      <c r="AH44" s="2370"/>
      <c r="AI44" s="2370"/>
      <c r="AJ44" s="2371"/>
      <c r="AK44" s="1274" t="s">
        <v>637</v>
      </c>
      <c r="AM44" s="516"/>
      <c r="AN44" s="516" t="str">
        <f>IF(T44="","",T44)</f>
        <v>Наименование признака дифференциации</v>
      </c>
      <c r="AO44" s="516"/>
      <c r="AP44" s="516"/>
      <c r="AQ44" s="1171">
        <v>23</v>
      </c>
    </row>
    <row customHeight="1" ht="24">
      <c r="A45" s="1379" t="s">
        <v>424</v>
      </c>
      <c r="B45" s="1379" t="s">
        <v>425</v>
      </c>
      <c r="C45" s="1379" t="s">
        <v>426</v>
      </c>
      <c r="D45" s="1379" t="s">
        <v>674</v>
      </c>
      <c r="E45" s="2275"/>
      <c r="F45" s="2275"/>
      <c r="G45" s="2275"/>
      <c r="H45" s="2275"/>
      <c r="I45" s="2302"/>
      <c r="J45" s="2272" t="str">
        <f>I44&amp;".1"</f>
        <v>...1.1</v>
      </c>
      <c r="K45" s="1379"/>
      <c r="L45" s="1380" t="s">
        <v>559</v>
      </c>
      <c r="P45" s="2273"/>
      <c r="Q45" s="2273">
        <v>1</v>
      </c>
      <c r="R45" s="373"/>
      <c r="S45" s="1509" t="str">
        <f>$J45</f>
        <v>...1.1</v>
      </c>
      <c r="T45" s="302" t="s">
        <v>560</v>
      </c>
      <c r="U45" s="316"/>
      <c r="V45" s="2261"/>
      <c r="W45" s="2262"/>
      <c r="X45" s="2262"/>
      <c r="Y45" s="2262"/>
      <c r="Z45" s="2262"/>
      <c r="AA45" s="2262"/>
      <c r="AB45" s="2263"/>
      <c r="AC45" s="2261"/>
      <c r="AD45" s="2262"/>
      <c r="AE45" s="2262"/>
      <c r="AF45" s="2262"/>
      <c r="AG45" s="2262"/>
      <c r="AH45" s="2262"/>
      <c r="AI45" s="2262"/>
      <c r="AJ45" s="2263"/>
      <c r="AK45" s="1323" t="s">
        <v>638</v>
      </c>
      <c r="AM45" s="516"/>
      <c r="AN45" s="516" t="str">
        <f>IF(T45="","",T45)</f>
        <v>Группа потребителей</v>
      </c>
      <c r="AO45" s="516"/>
      <c r="AP45" s="516"/>
      <c r="AQ45" s="1171">
        <v>23</v>
      </c>
    </row>
    <row customHeight="1" ht="24">
      <c r="A46" s="1379" t="s">
        <v>424</v>
      </c>
      <c r="B46" s="1379" t="s">
        <v>425</v>
      </c>
      <c r="C46" s="1379" t="s">
        <v>426</v>
      </c>
      <c r="D46" s="1379" t="s">
        <v>674</v>
      </c>
      <c r="E46" s="2275"/>
      <c r="F46" s="2275"/>
      <c r="G46" s="2275"/>
      <c r="H46" s="2275"/>
      <c r="I46" s="2302"/>
      <c r="J46" s="2302"/>
      <c r="K46" s="2272" t="str">
        <f>J45&amp;".1"</f>
        <v>...1.1.1</v>
      </c>
      <c r="L46" s="1380"/>
      <c r="P46" s="2273"/>
      <c r="Q46" s="2273"/>
      <c r="R46" s="373">
        <v>1</v>
      </c>
      <c r="S46" s="1509" t="str">
        <f>$K46</f>
        <v>...1.1.1</v>
      </c>
      <c r="T46" s="1453"/>
      <c r="U46" s="316"/>
      <c r="V46" s="1376"/>
      <c r="W46" s="1376"/>
      <c r="X46" s="1377"/>
      <c r="Y46" s="2283"/>
      <c r="Z46" s="2284" t="s">
        <v>64</v>
      </c>
      <c r="AA46" s="2283"/>
      <c r="AB46" s="2284" t="s">
        <v>64</v>
      </c>
      <c r="AC46" s="767"/>
      <c r="AD46" s="767"/>
      <c r="AE46" s="1273"/>
      <c r="AF46" s="2281"/>
      <c r="AG46" s="2123" t="s">
        <v>64</v>
      </c>
      <c r="AH46" s="2303"/>
      <c r="AI46" s="2123" t="s">
        <v>19</v>
      </c>
      <c r="AJ46" s="1454"/>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7">
        <f>STRCHECKDATE(V47:AJ47)</f>
      </c>
      <c r="AM46" s="516"/>
      <c r="AN46" s="516" t="str">
        <f>IF(T46="","",T46)</f>
        <v/>
      </c>
      <c r="AO46" s="516"/>
      <c r="AP46" s="516"/>
      <c r="AQ46" s="1171">
        <v>23</v>
      </c>
    </row>
    <row customHeight="1" ht="0">
      <c r="A47" s="1379" t="s">
        <v>424</v>
      </c>
      <c r="B47" s="1379" t="s">
        <v>425</v>
      </c>
      <c r="C47" s="1379" t="s">
        <v>426</v>
      </c>
      <c r="D47" s="1379" t="s">
        <v>674</v>
      </c>
      <c r="E47" s="2275"/>
      <c r="F47" s="2275"/>
      <c r="G47" s="2275"/>
      <c r="H47" s="2275"/>
      <c r="I47" s="2302"/>
      <c r="J47" s="2302"/>
      <c r="K47" s="2272"/>
      <c r="L47" s="1380"/>
      <c r="P47" s="2273"/>
      <c r="Q47" s="2273"/>
      <c r="R47" s="373"/>
      <c r="S47" s="1506"/>
      <c r="T47" s="316"/>
      <c r="U47" s="316"/>
      <c r="V47" s="1376"/>
      <c r="W47" s="1376"/>
      <c r="X47" s="344" t="str">
        <f>Y46&amp;"-"&amp;AA46</f>
        <v>-</v>
      </c>
      <c r="Y47" s="2284"/>
      <c r="Z47" s="2284"/>
      <c r="AA47" s="2284"/>
      <c r="AB47" s="2284"/>
      <c r="AC47" s="341"/>
      <c r="AD47" s="341"/>
      <c r="AE47" s="344" t="str">
        <f>AF46&amp;"-"&amp;AH46</f>
        <v>-</v>
      </c>
      <c r="AF47" s="2282"/>
      <c r="AG47" s="2123"/>
      <c r="AH47" s="2304"/>
      <c r="AI47" s="2123"/>
      <c r="AJ47" s="1455"/>
      <c r="AK47" s="2365"/>
      <c r="AM47" s="516"/>
      <c r="AN47" s="516" t="str">
        <f>IF(T47="","",T47)</f>
        <v/>
      </c>
      <c r="AO47" s="516"/>
      <c r="AP47" s="516"/>
      <c r="AQ47" s="1171">
        <v>0</v>
      </c>
    </row>
    <row customHeight="1" ht="21">
      <c r="A48" s="1379" t="s">
        <v>424</v>
      </c>
      <c r="B48" s="1379" t="s">
        <v>425</v>
      </c>
      <c r="C48" s="1379" t="s">
        <v>426</v>
      </c>
      <c r="D48" s="1379" t="s">
        <v>674</v>
      </c>
      <c r="E48" s="2275"/>
      <c r="F48" s="2275"/>
      <c r="G48" s="2275"/>
      <c r="H48" s="2275"/>
      <c r="I48" s="2302"/>
      <c r="J48" s="2272"/>
      <c r="K48" s="1379"/>
      <c r="L48" s="1380"/>
      <c r="P48" s="2273"/>
      <c r="Q48" s="2273"/>
      <c r="R48" s="372"/>
      <c r="S48" s="1294"/>
      <c r="T48" s="303" t="s">
        <v>639</v>
      </c>
      <c r="U48" s="383"/>
      <c r="V48" s="383"/>
      <c r="W48" s="383"/>
      <c r="X48" s="383"/>
      <c r="Y48" s="383"/>
      <c r="Z48" s="383"/>
      <c r="AA48" s="383"/>
      <c r="AB48" s="383"/>
      <c r="AC48" s="383"/>
      <c r="AD48" s="383"/>
      <c r="AE48" s="383"/>
      <c r="AF48" s="383"/>
      <c r="AG48" s="383"/>
      <c r="AH48" s="383"/>
      <c r="AI48" s="383"/>
      <c r="AJ48" s="383"/>
      <c r="AK48" s="1274" t="s">
        <v>640</v>
      </c>
      <c r="AM48" s="516"/>
      <c r="AN48" s="516" t="str">
        <f>IF(T48="","",T48)</f>
        <v>Добавить значение признака дифференциации</v>
      </c>
      <c r="AO48" s="516"/>
      <c r="AP48" s="516"/>
      <c r="AQ48" s="1171">
        <v>20</v>
      </c>
    </row>
    <row customHeight="1" ht="22.049999999999997">
      <c r="A49" s="1379" t="s">
        <v>424</v>
      </c>
      <c r="B49" s="1379" t="s">
        <v>425</v>
      </c>
      <c r="C49" s="1379" t="s">
        <v>426</v>
      </c>
      <c r="D49" s="1379" t="s">
        <v>674</v>
      </c>
      <c r="E49" s="2275"/>
      <c r="F49" s="2275"/>
      <c r="G49" s="2275"/>
      <c r="H49" s="2275"/>
      <c r="I49" s="2272"/>
      <c r="J49" s="1379"/>
      <c r="K49" s="1379"/>
      <c r="L49" s="1380"/>
      <c r="P49" s="2273"/>
      <c r="Q49" s="1497"/>
      <c r="R49" s="372"/>
      <c r="S49" s="1294"/>
      <c r="T49" s="381" t="s">
        <v>565</v>
      </c>
      <c r="U49" s="383"/>
      <c r="V49" s="383"/>
      <c r="W49" s="383"/>
      <c r="X49" s="383"/>
      <c r="Y49" s="383"/>
      <c r="Z49" s="383"/>
      <c r="AA49" s="383"/>
      <c r="AB49" s="382"/>
      <c r="AC49" s="383"/>
      <c r="AD49" s="383"/>
      <c r="AE49" s="383"/>
      <c r="AF49" s="383"/>
      <c r="AG49" s="383"/>
      <c r="AH49" s="383"/>
      <c r="AI49" s="382"/>
      <c r="AJ49" s="383"/>
      <c r="AK49" s="1456"/>
      <c r="AM49" s="516"/>
      <c r="AN49" s="516" t="str">
        <f>IF(T49="","",T49)</f>
        <v>Добавить группу потребителей</v>
      </c>
      <c r="AO49" s="516"/>
      <c r="AP49" s="516"/>
      <c r="AQ49" s="1171">
        <v>21</v>
      </c>
    </row>
    <row customHeight="1" ht="22.049999999999997">
      <c r="A50" s="1379" t="s">
        <v>424</v>
      </c>
      <c r="B50" s="1379" t="s">
        <v>425</v>
      </c>
      <c r="C50" s="1379" t="s">
        <v>426</v>
      </c>
      <c r="D50" s="1379" t="s">
        <v>674</v>
      </c>
      <c r="E50" s="2275"/>
      <c r="F50" s="2275"/>
      <c r="G50" s="2275"/>
      <c r="H50" s="2274"/>
      <c r="I50" s="1379"/>
      <c r="J50" s="1379"/>
      <c r="K50" s="1379"/>
      <c r="L50" s="1380"/>
      <c r="M50" s="1381"/>
      <c r="N50" s="1381"/>
      <c r="O50" s="553"/>
      <c r="P50" s="376"/>
      <c r="Q50" s="391"/>
      <c r="R50" s="371"/>
      <c r="S50" s="1294"/>
      <c r="T50" s="388" t="s">
        <v>641</v>
      </c>
      <c r="U50" s="383"/>
      <c r="V50" s="383"/>
      <c r="W50" s="383"/>
      <c r="X50" s="383"/>
      <c r="Y50" s="383"/>
      <c r="Z50" s="383"/>
      <c r="AA50" s="383"/>
      <c r="AB50" s="382"/>
      <c r="AC50" s="383"/>
      <c r="AD50" s="383"/>
      <c r="AE50" s="383"/>
      <c r="AF50" s="383"/>
      <c r="AG50" s="383"/>
      <c r="AH50" s="383"/>
      <c r="AI50" s="382"/>
      <c r="AJ50" s="383"/>
      <c r="AK50" s="319"/>
      <c r="AM50" s="516"/>
      <c r="AN50" s="516" t="str">
        <f>IF(T50="","",T50)</f>
        <v>Добавить наименование признака дифференциации</v>
      </c>
      <c r="AO50" s="516"/>
      <c r="AP50" s="516"/>
      <c r="AQ50" s="1171">
        <v>21</v>
      </c>
    </row>
    <row s="1658" customFormat="1" customHeight="1" ht="0">
      <c r="A51" s="1359" t="s">
        <v>424</v>
      </c>
      <c r="B51" s="1359" t="s">
        <v>425</v>
      </c>
      <c r="C51" s="1330"/>
      <c r="D51" s="1330"/>
      <c r="E51" s="2275"/>
      <c r="F51" s="2274"/>
      <c r="G51" s="1330"/>
      <c r="H51" s="1330"/>
      <c r="I51" s="1330"/>
      <c r="J51" s="1330"/>
      <c r="K51" s="1330"/>
      <c r="L51" s="1510"/>
      <c r="M51" s="1337"/>
      <c r="N51" s="1337"/>
      <c r="P51" s="1332"/>
      <c r="Q51" s="1333"/>
      <c r="R51" s="1332"/>
      <c r="S51" s="1338"/>
      <c r="T51" s="1341" t="s">
        <v>269</v>
      </c>
      <c r="U51" s="1340"/>
      <c r="V51" s="1340"/>
      <c r="W51" s="1340"/>
      <c r="X51" s="1340"/>
      <c r="Y51" s="1340"/>
      <c r="Z51" s="1340"/>
      <c r="AA51" s="1340"/>
      <c r="AB51" s="1340"/>
      <c r="AC51" s="1340"/>
      <c r="AD51" s="1340"/>
      <c r="AE51" s="1340"/>
      <c r="AF51" s="1340"/>
      <c r="AG51" s="1340"/>
      <c r="AH51" s="1340"/>
      <c r="AI51" s="1340"/>
      <c r="AJ51" s="1340"/>
      <c r="AK51" s="1340"/>
      <c r="AM51" s="805"/>
      <c r="AN51" s="805" t="str">
        <f>IF(T51="","",T51)</f>
        <v>Добавить централизованную систему для дифференциации</v>
      </c>
      <c r="AO51" s="805"/>
      <c r="AP51" s="805"/>
      <c r="AQ51" s="534">
        <v>0</v>
      </c>
    </row>
    <row s="1658" customFormat="1" customHeight="1" ht="0">
      <c r="A52" s="1359" t="s">
        <v>424</v>
      </c>
      <c r="B52" s="1359"/>
      <c r="C52" s="1359"/>
      <c r="D52" s="1359"/>
      <c r="E52" s="2274"/>
      <c r="F52" s="1359"/>
      <c r="G52" s="1359"/>
      <c r="H52" s="1359"/>
      <c r="I52" s="1359"/>
      <c r="J52" s="1359"/>
      <c r="K52" s="1359"/>
      <c r="L52" s="1362"/>
      <c r="M52" s="1337"/>
      <c r="N52" s="1337"/>
      <c r="O52" s="534"/>
      <c r="P52" s="396"/>
      <c r="Q52" s="1360"/>
      <c r="R52" s="396"/>
      <c r="S52" s="1338"/>
      <c r="T52" s="1341" t="s">
        <v>330</v>
      </c>
      <c r="U52" s="1340"/>
      <c r="V52" s="1340"/>
      <c r="W52" s="1340"/>
      <c r="X52" s="1340"/>
      <c r="Y52" s="1340"/>
      <c r="Z52" s="1340"/>
      <c r="AA52" s="1340"/>
      <c r="AB52" s="1340"/>
      <c r="AC52" s="1340"/>
      <c r="AD52" s="1340"/>
      <c r="AE52" s="1340"/>
      <c r="AF52" s="1340"/>
      <c r="AG52" s="1340"/>
      <c r="AH52" s="1340"/>
      <c r="AI52" s="1340"/>
      <c r="AJ52" s="1340"/>
      <c r="AK52" s="1340"/>
      <c r="AM52" s="516"/>
      <c r="AN52" s="516" t="str">
        <f>IF(T52="","",T52)</f>
        <v>Добавить территорию для дифференциации</v>
      </c>
      <c r="AO52" s="516"/>
      <c r="AP52" s="516"/>
      <c r="AQ52" s="527">
        <v>0</v>
      </c>
    </row>
    <row s="1658" customFormat="1" customHeight="1" ht="0">
      <c r="A53" s="1330"/>
      <c r="B53" s="1330"/>
      <c r="C53" s="1330"/>
      <c r="D53" s="1330"/>
      <c r="E53" s="1359"/>
      <c r="F53" s="1330"/>
      <c r="G53" s="1330"/>
      <c r="H53" s="1330"/>
      <c r="I53" s="1330"/>
      <c r="J53" s="1330"/>
      <c r="K53" s="1330"/>
      <c r="L53" s="1510"/>
      <c r="M53" s="1337"/>
      <c r="N53" s="1337"/>
      <c r="P53" s="1332"/>
      <c r="Q53" s="1333"/>
      <c r="R53" s="1332"/>
      <c r="S53" s="1338"/>
      <c r="T53" s="1341" t="s">
        <v>356</v>
      </c>
      <c r="U53" s="1340"/>
      <c r="V53" s="1340"/>
      <c r="W53" s="1340"/>
      <c r="X53" s="1340"/>
      <c r="Y53" s="1340"/>
      <c r="Z53" s="1340"/>
      <c r="AA53" s="1340"/>
      <c r="AB53" s="1340"/>
      <c r="AC53" s="1340"/>
      <c r="AD53" s="1340"/>
      <c r="AE53" s="1340"/>
      <c r="AF53" s="1340"/>
      <c r="AG53" s="1340"/>
      <c r="AH53" s="1340"/>
      <c r="AI53" s="1340"/>
      <c r="AJ53" s="1340"/>
      <c r="AK53" s="1340"/>
      <c r="AM53" s="805"/>
      <c r="AN53" s="805" t="str">
        <f>IF(T53="","",T53)</f>
        <v>Добавить наименование тарифа</v>
      </c>
      <c r="AO53" s="805"/>
      <c r="AP53" s="805"/>
      <c r="AQ53" s="534">
        <v>0</v>
      </c>
    </row>
    <row customHeight="1" ht="11.549999999999999">
      <c r="M54" s="1176"/>
      <c r="N54" s="1176"/>
      <c r="O54" s="553"/>
      <c r="P54" s="1171"/>
      <c r="Q54" s="1171"/>
      <c r="R54" s="1171"/>
      <c r="S54" s="1171"/>
      <c r="AL54" s="1171"/>
      <c r="AM54" s="1171"/>
      <c r="AN54" s="1171"/>
      <c r="AO54" s="1171"/>
      <c r="AP54" s="1171"/>
      <c r="AQ54" s="1171">
        <v>11</v>
      </c>
    </row>
    <row customHeight="1" ht="14.699999999999998">
      <c r="O55" s="553"/>
      <c r="S55" s="1269"/>
      <c r="T55" s="2301"/>
      <c r="U55" s="2301"/>
      <c r="V55" s="2301"/>
      <c r="W55" s="2301"/>
      <c r="X55" s="2301"/>
      <c r="Y55" s="2301"/>
      <c r="Z55" s="2301"/>
      <c r="AA55" s="2301"/>
      <c r="AB55" s="2301"/>
      <c r="AC55" s="2301"/>
      <c r="AD55" s="2301"/>
      <c r="AE55" s="2301"/>
      <c r="AF55" s="2301"/>
      <c r="AG55" s="2301"/>
      <c r="AH55" s="2301"/>
      <c r="AI55" s="2301"/>
      <c r="AJ55" s="2301"/>
      <c r="AK55" s="2301"/>
      <c r="AQ55" s="1171">
        <v>14</v>
      </c>
    </row>
    <row customHeight="1" ht="14.699999999999998">
      <c r="O56" s="553"/>
      <c r="AQ56" s="1171">
        <v>14</v>
      </c>
    </row>
    <row customHeight="1" ht="14.699999999999998">
      <c r="O57" s="553"/>
      <c r="S57" s="1269"/>
      <c r="T57" s="2301"/>
      <c r="U57" s="2301"/>
      <c r="V57" s="2301"/>
      <c r="W57" s="2301"/>
      <c r="X57" s="2301"/>
      <c r="Y57" s="2301"/>
      <c r="Z57" s="2301"/>
      <c r="AA57" s="2301"/>
      <c r="AB57" s="2301"/>
      <c r="AC57" s="2301"/>
      <c r="AD57" s="2301"/>
      <c r="AE57" s="2301"/>
      <c r="AF57" s="2301"/>
      <c r="AG57" s="2301"/>
      <c r="AH57" s="2301"/>
      <c r="AI57" s="2301"/>
      <c r="AJ57" s="2301"/>
      <c r="AK57" s="2301"/>
      <c r="AQ57" s="1171">
        <v>14</v>
      </c>
    </row>
    <row customHeight="1" ht="22.5" hidden="1">
      <c r="A58" s="1176" t="s">
        <v>85</v>
      </c>
      <c r="B58" s="1176">
        <v>0</v>
      </c>
      <c r="C58" s="1176">
        <v>0</v>
      </c>
      <c r="D58" s="1176">
        <v>0</v>
      </c>
      <c r="E58" s="1176">
        <v>0</v>
      </c>
      <c r="F58" s="1176">
        <v>0</v>
      </c>
      <c r="G58" s="1176">
        <v>0</v>
      </c>
      <c r="H58" s="1176">
        <v>0</v>
      </c>
      <c r="I58" s="1176">
        <v>0</v>
      </c>
      <c r="J58" s="1176">
        <v>0</v>
      </c>
      <c r="K58" s="1176">
        <v>0</v>
      </c>
      <c r="L58" s="1494">
        <v>0</v>
      </c>
      <c r="M58" s="1378">
        <v>0</v>
      </c>
      <c r="N58" s="1378">
        <v>0</v>
      </c>
      <c r="O58" s="1378">
        <v>0</v>
      </c>
      <c r="P58" s="1489">
        <v>3</v>
      </c>
      <c r="Q58" s="360">
        <v>3</v>
      </c>
      <c r="R58" s="360">
        <v>3</v>
      </c>
      <c r="S58" s="597">
        <v>12</v>
      </c>
      <c r="T58" s="1171">
        <v>35</v>
      </c>
      <c r="U58" s="1171">
        <v>0</v>
      </c>
      <c r="V58" s="1171">
        <v>0</v>
      </c>
      <c r="W58" s="1171">
        <v>0</v>
      </c>
      <c r="X58" s="1171">
        <v>0</v>
      </c>
      <c r="Y58" s="1171">
        <v>0</v>
      </c>
      <c r="Z58" s="1171">
        <v>0</v>
      </c>
      <c r="AA58" s="1171">
        <v>0</v>
      </c>
      <c r="AB58" s="1171">
        <v>0</v>
      </c>
      <c r="AC58" s="1171">
        <v>24</v>
      </c>
      <c r="AD58" s="1171">
        <v>24</v>
      </c>
      <c r="AE58" s="1171">
        <v>24</v>
      </c>
      <c r="AF58" s="1171">
        <v>11</v>
      </c>
      <c r="AG58" s="1171">
        <v>3</v>
      </c>
      <c r="AH58" s="1171">
        <v>11</v>
      </c>
      <c r="AI58" s="1171">
        <v>0</v>
      </c>
      <c r="AJ58" s="1171">
        <v>4</v>
      </c>
      <c r="AK58" s="1171">
        <v>115</v>
      </c>
      <c r="AL58" s="527">
        <v>10</v>
      </c>
      <c r="AM58" s="527">
        <v>10</v>
      </c>
      <c r="AN58" s="527">
        <v>10</v>
      </c>
      <c r="AO58" s="527">
        <v>10</v>
      </c>
      <c r="AP58" s="527">
        <v>10</v>
      </c>
      <c r="AQ58" s="117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7781B-DC75-41CE-1C43-DA80D1147D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2" width="11.57421875" hidden="1" customWidth="1"/>
    <col min="2" max="2" style="1382" width="11.00390625" hidden="1" customWidth="1"/>
    <col min="3" max="3" style="1382" width="10.57421875" hidden="1"/>
    <col min="4" max="4" style="1382" width="12.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1792" width="3.7109375" hidden="1" customWidth="1"/>
    <col min="17" max="17" style="1387" width="3.7109375" hidden="1" customWidth="1"/>
    <col min="18" max="18" style="360" width="3.00390625" customWidth="1"/>
    <col min="19" max="19" style="2423" width="12.00390625" customWidth="1"/>
    <col min="20" max="20" style="1651" width="31.00390625" customWidth="1"/>
    <col min="21" max="21" style="1651" width="0.140625" customWidth="1"/>
    <col min="22" max="25" style="1651" width="21.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3.7109375" customWidth="1"/>
    <col min="31" max="32" style="1651" width="3.00390625" customWidth="1"/>
    <col min="33" max="33" style="1651" width="24.00390625" customWidth="1"/>
    <col min="34" max="34" style="1651" width="3.7109375" customWidth="1"/>
    <col min="35" max="36" style="1651" width="3.00390625" customWidth="1"/>
    <col min="37" max="37" style="1651" width="24.00390625" customWidth="1"/>
    <col min="38" max="38" style="1651" width="3.7109375" customWidth="1"/>
    <col min="39" max="40" style="1651" width="3.00390625" customWidth="1"/>
    <col min="41" max="41" style="1651" width="18.00390625" customWidth="1"/>
    <col min="42" max="42" style="1651" width="3.7109375" customWidth="1"/>
    <col min="43" max="44" style="1651" width="3.00390625" customWidth="1"/>
    <col min="45" max="45" style="1651" width="18.00390625" customWidth="1"/>
    <col min="46" max="49" style="1651" width="21.00390625" customWidth="1"/>
    <col min="50" max="50" style="1651" width="11.00390625" customWidth="1"/>
    <col min="51" max="51" style="1651" width="3.7109375" customWidth="1"/>
    <col min="52" max="52" style="1651" width="11.00390625" customWidth="1"/>
    <col min="53" max="53" style="1651" width="8.57421875" hidden="1" customWidth="1"/>
    <col min="54" max="54" style="1651" width="4.00390625" customWidth="1"/>
    <col min="55" max="55" style="1651" width="115.00390625" customWidth="1"/>
    <col min="56" max="60" style="1658" width="10.00390625" customWidth="1"/>
    <col min="61" max="61" style="1651" width="10.57421875" hidden="1"/>
  </cols>
  <sheetData>
    <row customHeight="1" ht="22.5" hidden="1">
      <c r="W1" s="343"/>
      <c r="Y1" s="343"/>
      <c r="Z1" s="343"/>
      <c r="AW1" s="343"/>
      <c r="AX1" s="343"/>
      <c r="BI1" s="1171" t="s">
        <v>14</v>
      </c>
    </row>
    <row customHeight="1" ht="21" hidden="1">
      <c r="A2" s="1379"/>
      <c r="B2" s="1379"/>
      <c r="C2" s="1379"/>
      <c r="D2" s="1379"/>
      <c r="E2" s="2274">
        <v>1</v>
      </c>
      <c r="F2" s="1379"/>
      <c r="G2" s="1379"/>
      <c r="H2" s="1379"/>
      <c r="I2" s="1379"/>
      <c r="J2" s="1379"/>
      <c r="K2" s="1379"/>
      <c r="L2" s="1380"/>
      <c r="M2" s="1381"/>
      <c r="N2" s="1381"/>
      <c r="O2" s="1381"/>
      <c r="P2" s="1425"/>
      <c r="Q2" s="889"/>
      <c r="R2" s="371"/>
      <c r="S2" s="1509">
        <f>INDEX(PT_DIFFERENTIATION_NUM_NTAR,MATCH(A2,PT_DIFFERENTIATION_NTAR_ID,0))</f>
      </c>
      <c r="T2" s="314" t="s">
        <v>192</v>
      </c>
      <c r="U2" s="316"/>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6"/>
      <c r="BF2" s="516" t="str">
        <f>IF(T2="","",T2)</f>
        <v>Наименование тарифа</v>
      </c>
      <c r="BG2" s="516"/>
      <c r="BH2" s="516"/>
      <c r="BI2" s="1171">
        <v>0</v>
      </c>
    </row>
    <row customHeight="1" ht="21" hidden="1">
      <c r="A3" s="1379"/>
      <c r="B3" s="1379"/>
      <c r="C3" s="1379"/>
      <c r="D3" s="1379"/>
      <c r="E3" s="2275"/>
      <c r="F3" s="2274">
        <v>1</v>
      </c>
      <c r="G3" s="1379"/>
      <c r="H3" s="1379"/>
      <c r="I3" s="1379"/>
      <c r="J3" s="1379"/>
      <c r="K3" s="1379"/>
      <c r="L3" s="1380"/>
      <c r="M3" s="1381"/>
      <c r="N3" s="1381"/>
      <c r="O3" s="1381"/>
      <c r="P3" s="1426"/>
      <c r="Q3" s="1427"/>
      <c r="R3" s="369"/>
      <c r="S3" s="1509">
        <f>INDEX(PT_DIFFERENTIATION_NUM_TER,MATCH(B3,PT_DIFFERENTIATION_TER_ID,0))</f>
      </c>
      <c r="T3" s="324" t="s">
        <v>550</v>
      </c>
      <c r="U3" s="316"/>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74" t="s">
        <v>551</v>
      </c>
      <c r="BE3" s="516"/>
      <c r="BF3" s="516" t="str">
        <f>IF(T3="","",T3)</f>
        <v>Территория действия тарифа</v>
      </c>
      <c r="BG3" s="516"/>
      <c r="BH3" s="516"/>
      <c r="BI3" s="1171">
        <v>0</v>
      </c>
    </row>
    <row customHeight="1" ht="33.75" hidden="1">
      <c r="A4" s="1379"/>
      <c r="B4" s="1379"/>
      <c r="C4" s="1379"/>
      <c r="D4" s="1379"/>
      <c r="E4" s="2275"/>
      <c r="F4" s="2275"/>
      <c r="G4" s="2274">
        <v>1</v>
      </c>
      <c r="H4" s="1379"/>
      <c r="I4" s="1379"/>
      <c r="J4" s="1379"/>
      <c r="K4" s="1379"/>
      <c r="L4" s="1380"/>
      <c r="M4" s="1381"/>
      <c r="N4" s="1381"/>
      <c r="O4" s="1381"/>
      <c r="P4" s="1428"/>
      <c r="Q4" s="1427"/>
      <c r="R4" s="369"/>
      <c r="S4" s="1509">
        <f>INDEX(PT_DIFFERENTIATION_NUM_CS,MATCH(C4,PT_DIFFERENTIATION_CS_ID,0))</f>
      </c>
      <c r="T4" s="325" t="s">
        <v>669</v>
      </c>
      <c r="U4" s="316"/>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74" t="s">
        <v>670</v>
      </c>
      <c r="BE4" s="516"/>
      <c r="BF4" s="516" t="str">
        <f>IF(T4="","",T4)</f>
        <v>Наименование централизованной системы водоотведения</v>
      </c>
      <c r="BG4" s="516"/>
      <c r="BH4" s="516"/>
      <c r="BI4" s="1171">
        <v>0</v>
      </c>
    </row>
    <row s="1658" customFormat="1" customHeight="1" ht="14.25" hidden="1">
      <c r="A5" s="1359"/>
      <c r="B5" s="1359"/>
      <c r="C5" s="1359"/>
      <c r="D5" s="1359"/>
      <c r="E5" s="2275"/>
      <c r="F5" s="2275"/>
      <c r="G5" s="2275"/>
      <c r="H5" s="2274">
        <v>1</v>
      </c>
      <c r="I5" s="1359"/>
      <c r="J5" s="1359"/>
      <c r="K5" s="1359"/>
      <c r="L5" s="1362"/>
      <c r="M5" s="1331"/>
      <c r="N5" s="1331"/>
      <c r="O5" s="1331"/>
      <c r="P5" s="1513"/>
      <c r="Q5" s="1514"/>
      <c r="R5" s="373"/>
      <c r="S5" s="1058"/>
      <c r="T5" s="1515"/>
      <c r="U5" s="1400"/>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401" t="s">
        <v>555</v>
      </c>
      <c r="BE5" s="516"/>
      <c r="BF5" s="516" t="str">
        <f>IF(T5="","",T5)</f>
        <v/>
      </c>
      <c r="BG5" s="516"/>
      <c r="BH5" s="516"/>
      <c r="BI5" s="527">
        <v>0</v>
      </c>
    </row>
    <row s="1658" customFormat="1" customHeight="1" ht="14.25" hidden="1">
      <c r="A6" s="1359"/>
      <c r="B6" s="1359"/>
      <c r="C6" s="1359"/>
      <c r="D6" s="1359"/>
      <c r="E6" s="2275"/>
      <c r="F6" s="2275"/>
      <c r="G6" s="2275"/>
      <c r="H6" s="2275"/>
      <c r="I6" s="2272" t="str">
        <f>S5&amp;".1"</f>
        <v>.1</v>
      </c>
      <c r="J6" s="1359"/>
      <c r="K6" s="1359"/>
      <c r="L6" s="1362" t="s">
        <v>556</v>
      </c>
      <c r="M6" s="526"/>
      <c r="N6" s="526"/>
      <c r="O6" s="526"/>
      <c r="P6" s="2273">
        <v>1</v>
      </c>
      <c r="Q6" s="1497"/>
      <c r="R6" s="372"/>
      <c r="S6" s="1058"/>
      <c r="T6" s="1399"/>
      <c r="U6" s="1400"/>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401"/>
      <c r="BE6" s="516"/>
      <c r="BF6" s="516" t="str">
        <f>IF(T6="","",T6)</f>
        <v/>
      </c>
      <c r="BG6" s="516"/>
      <c r="BH6" s="516"/>
      <c r="BI6" s="527">
        <v>0</v>
      </c>
    </row>
    <row s="1658" customFormat="1" customHeight="1" ht="14.25" hidden="1">
      <c r="A7" s="1359"/>
      <c r="B7" s="1359"/>
      <c r="C7" s="1359"/>
      <c r="D7" s="1359"/>
      <c r="E7" s="2275"/>
      <c r="F7" s="2275"/>
      <c r="G7" s="2275"/>
      <c r="H7" s="2275"/>
      <c r="I7" s="2302"/>
      <c r="J7" s="2272" t="str">
        <f>S5&amp;".1"</f>
        <v>.1</v>
      </c>
      <c r="K7" s="1359"/>
      <c r="L7" s="1362"/>
      <c r="M7" s="526"/>
      <c r="N7" s="526"/>
      <c r="O7" s="526"/>
      <c r="P7" s="2273"/>
      <c r="Q7" s="2273">
        <v>1</v>
      </c>
      <c r="R7" s="373"/>
      <c r="S7" s="1058"/>
      <c r="T7" s="1415"/>
      <c r="U7" s="1400"/>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401"/>
      <c r="BE7" s="516"/>
      <c r="BF7" s="516" t="str">
        <f>IF(T7="","",T7)</f>
        <v/>
      </c>
      <c r="BG7" s="516"/>
      <c r="BH7" s="516"/>
      <c r="BI7" s="527">
        <v>0</v>
      </c>
    </row>
    <row customHeight="1" ht="11.25" hidden="1">
      <c r="A8" s="1379"/>
      <c r="B8" s="1379"/>
      <c r="C8" s="1379"/>
      <c r="D8" s="1379"/>
      <c r="E8" s="2275"/>
      <c r="F8" s="2275"/>
      <c r="G8" s="2275"/>
      <c r="H8" s="2275"/>
      <c r="I8" s="2302"/>
      <c r="J8" s="2302"/>
      <c r="K8" s="2272">
        <f>S4&amp;".1"</f>
      </c>
      <c r="L8" s="1380"/>
      <c r="P8" s="2273"/>
      <c r="Q8" s="2273"/>
      <c r="R8" s="2363">
        <v>1</v>
      </c>
      <c r="S8" s="2357">
        <f>$K8</f>
      </c>
      <c r="T8" s="2376"/>
      <c r="U8" s="316"/>
      <c r="V8" s="767"/>
      <c r="W8" s="1273"/>
      <c r="X8" s="767"/>
      <c r="Y8" s="1273"/>
      <c r="Z8" s="1750"/>
      <c r="AA8" s="1485" t="s">
        <v>64</v>
      </c>
      <c r="AB8" s="1750"/>
      <c r="AC8" s="1485" t="s">
        <v>64</v>
      </c>
      <c r="AD8" s="2201" t="s">
        <v>64</v>
      </c>
      <c r="AE8" s="2342"/>
      <c r="AF8" s="2221">
        <v>1</v>
      </c>
      <c r="AG8" s="2379"/>
      <c r="AH8" s="2123" t="s">
        <v>64</v>
      </c>
      <c r="AI8" s="2342"/>
      <c r="AJ8" s="2221">
        <v>1</v>
      </c>
      <c r="AK8" s="2343" t="s">
        <v>28</v>
      </c>
      <c r="AL8" s="2123" t="s">
        <v>64</v>
      </c>
      <c r="AM8" s="2208"/>
      <c r="AN8" s="2221">
        <v>1</v>
      </c>
      <c r="AO8" s="2373"/>
      <c r="AP8" s="2374" t="s">
        <v>64</v>
      </c>
      <c r="AQ8" s="327"/>
      <c r="AR8" s="1502">
        <v>1</v>
      </c>
      <c r="AS8" s="1508" t="s">
        <v>28</v>
      </c>
      <c r="AT8" s="767"/>
      <c r="AU8" s="1273"/>
      <c r="AV8" s="767"/>
      <c r="AW8" s="1273"/>
      <c r="AX8" s="1750"/>
      <c r="AY8" s="1485" t="s">
        <v>64</v>
      </c>
      <c r="AZ8" s="1750"/>
      <c r="BA8" s="1485" t="s">
        <v>64</v>
      </c>
      <c r="BB8" s="1364"/>
      <c r="BC8" s="2269" t="s">
        <v>654</v>
      </c>
      <c r="BE8" s="516"/>
      <c r="BF8" s="516" t="str">
        <f>IF(T8="","",T8)</f>
        <v/>
      </c>
      <c r="BG8" s="516"/>
      <c r="BH8" s="516"/>
      <c r="BI8" s="1171">
        <v>0</v>
      </c>
    </row>
    <row customHeight="1" ht="11.25" hidden="1">
      <c r="A9" s="1379"/>
      <c r="B9" s="1379"/>
      <c r="C9" s="1379"/>
      <c r="D9" s="1379"/>
      <c r="E9" s="2275"/>
      <c r="F9" s="2275"/>
      <c r="G9" s="2275"/>
      <c r="H9" s="2275"/>
      <c r="I9" s="2302"/>
      <c r="J9" s="2302"/>
      <c r="K9" s="2272"/>
      <c r="L9" s="1380"/>
      <c r="P9" s="2273"/>
      <c r="Q9" s="2273"/>
      <c r="R9" s="2363"/>
      <c r="S9" s="2358"/>
      <c r="T9" s="2377"/>
      <c r="U9" s="316"/>
      <c r="V9" s="1409"/>
      <c r="W9" s="1512"/>
      <c r="X9" s="1409"/>
      <c r="Y9" s="1512"/>
      <c r="Z9" s="1409"/>
      <c r="AA9" s="1409"/>
      <c r="AB9" s="1409"/>
      <c r="AC9" s="1409"/>
      <c r="AD9" s="2202"/>
      <c r="AE9" s="2342"/>
      <c r="AF9" s="2221"/>
      <c r="AG9" s="2379"/>
      <c r="AH9" s="2123"/>
      <c r="AI9" s="2342"/>
      <c r="AJ9" s="2221"/>
      <c r="AK9" s="2343"/>
      <c r="AL9" s="2123"/>
      <c r="AM9" s="2216"/>
      <c r="AN9" s="2221"/>
      <c r="AO9" s="2373"/>
      <c r="AP9" s="2375"/>
      <c r="AQ9" s="332"/>
      <c r="AR9" s="432"/>
      <c r="AS9" s="432" t="s">
        <v>655</v>
      </c>
      <c r="AT9" s="1409"/>
      <c r="AU9" s="1512"/>
      <c r="AV9" s="1409"/>
      <c r="AW9" s="1512"/>
      <c r="AX9" s="1409"/>
      <c r="AY9" s="1409"/>
      <c r="AZ9" s="1409"/>
      <c r="BA9" s="1409"/>
      <c r="BB9" s="1413"/>
      <c r="BC9" s="2270"/>
      <c r="BE9" s="516"/>
      <c r="BF9" s="516"/>
      <c r="BG9" s="516"/>
      <c r="BH9" s="516"/>
      <c r="BI9" s="1171">
        <v>0</v>
      </c>
    </row>
    <row customHeight="1" ht="11.25" hidden="1">
      <c r="A10" s="1379"/>
      <c r="B10" s="1379"/>
      <c r="C10" s="1379"/>
      <c r="D10" s="1379"/>
      <c r="E10" s="2275"/>
      <c r="F10" s="2275"/>
      <c r="G10" s="2275"/>
      <c r="H10" s="2275"/>
      <c r="I10" s="2302"/>
      <c r="J10" s="2302"/>
      <c r="K10" s="2272"/>
      <c r="L10" s="1380"/>
      <c r="P10" s="2273"/>
      <c r="Q10" s="2273"/>
      <c r="R10" s="2363"/>
      <c r="S10" s="2358"/>
      <c r="T10" s="2377"/>
      <c r="U10" s="316"/>
      <c r="V10" s="1409"/>
      <c r="W10" s="1512"/>
      <c r="X10" s="1409"/>
      <c r="Y10" s="1512"/>
      <c r="Z10" s="1409"/>
      <c r="AA10" s="1409"/>
      <c r="AB10" s="1409"/>
      <c r="AC10" s="1409"/>
      <c r="AD10" s="2202"/>
      <c r="AE10" s="2342"/>
      <c r="AF10" s="2221"/>
      <c r="AG10" s="2379"/>
      <c r="AH10" s="2123"/>
      <c r="AI10" s="2342"/>
      <c r="AJ10" s="2221"/>
      <c r="AK10" s="2343"/>
      <c r="AL10" s="2123"/>
      <c r="AM10" s="332"/>
      <c r="AN10" s="1516"/>
      <c r="AO10" s="1516" t="s">
        <v>675</v>
      </c>
      <c r="AP10" s="432"/>
      <c r="AQ10" s="432"/>
      <c r="AR10" s="432"/>
      <c r="AS10" s="1409"/>
      <c r="AT10" s="1409"/>
      <c r="AU10" s="1512"/>
      <c r="AV10" s="1409"/>
      <c r="AW10" s="1512"/>
      <c r="AX10" s="1409"/>
      <c r="AY10" s="1409"/>
      <c r="AZ10" s="1409"/>
      <c r="BA10" s="1409"/>
      <c r="BB10" s="1413"/>
      <c r="BC10" s="2270"/>
      <c r="BE10" s="516"/>
      <c r="BF10" s="516"/>
      <c r="BG10" s="516"/>
      <c r="BH10" s="516"/>
      <c r="BI10" s="1171">
        <v>0</v>
      </c>
    </row>
    <row customHeight="1" ht="11.25" hidden="1">
      <c r="A11" s="1379"/>
      <c r="B11" s="1379"/>
      <c r="C11" s="1379"/>
      <c r="D11" s="1379"/>
      <c r="E11" s="2275"/>
      <c r="F11" s="2275"/>
      <c r="G11" s="2275"/>
      <c r="H11" s="2275"/>
      <c r="I11" s="2302"/>
      <c r="J11" s="2302"/>
      <c r="K11" s="2272"/>
      <c r="L11" s="1380"/>
      <c r="P11" s="2273"/>
      <c r="Q11" s="2273"/>
      <c r="R11" s="2363"/>
      <c r="S11" s="2358"/>
      <c r="T11" s="2377"/>
      <c r="U11" s="316"/>
      <c r="V11" s="1409"/>
      <c r="W11" s="1512"/>
      <c r="X11" s="1409"/>
      <c r="Y11" s="1512"/>
      <c r="Z11" s="1409"/>
      <c r="AA11" s="1409"/>
      <c r="AB11" s="1409"/>
      <c r="AC11" s="1409"/>
      <c r="AD11" s="2202"/>
      <c r="AE11" s="2342"/>
      <c r="AF11" s="2221"/>
      <c r="AG11" s="2379"/>
      <c r="AH11" s="2123"/>
      <c r="AI11" s="310"/>
      <c r="AJ11" s="431"/>
      <c r="AK11" s="329" t="s">
        <v>676</v>
      </c>
      <c r="AL11" s="1409"/>
      <c r="AM11" s="1409"/>
      <c r="AN11" s="1409"/>
      <c r="AO11" s="1409"/>
      <c r="AP11" s="1409"/>
      <c r="AQ11" s="1409"/>
      <c r="AR11" s="1409"/>
      <c r="AS11" s="1409"/>
      <c r="AT11" s="1409"/>
      <c r="AU11" s="1512"/>
      <c r="AV11" s="1409"/>
      <c r="AW11" s="1512"/>
      <c r="AX11" s="1409"/>
      <c r="AY11" s="1409"/>
      <c r="AZ11" s="1409"/>
      <c r="BA11" s="1409"/>
      <c r="BB11" s="1413"/>
      <c r="BC11" s="2270"/>
      <c r="BE11" s="516"/>
      <c r="BF11" s="516"/>
      <c r="BG11" s="516"/>
      <c r="BH11" s="516"/>
      <c r="BI11" s="1171">
        <v>0</v>
      </c>
    </row>
    <row customHeight="1" ht="11.25" hidden="1">
      <c r="A12" s="1379"/>
      <c r="B12" s="1379"/>
      <c r="C12" s="1379"/>
      <c r="D12" s="1379"/>
      <c r="E12" s="2275"/>
      <c r="F12" s="2275"/>
      <c r="G12" s="2275"/>
      <c r="H12" s="2275"/>
      <c r="I12" s="2302"/>
      <c r="J12" s="2302"/>
      <c r="K12" s="2272"/>
      <c r="L12" s="1380"/>
      <c r="P12" s="2273"/>
      <c r="Q12" s="2273"/>
      <c r="R12" s="2363"/>
      <c r="S12" s="2359"/>
      <c r="T12" s="2378"/>
      <c r="U12" s="316"/>
      <c r="V12" s="1409"/>
      <c r="W12" s="1410" t="str">
        <f>Z8&amp;"-"&amp;AB8</f>
        <v>-</v>
      </c>
      <c r="X12" s="1409"/>
      <c r="Y12" s="1410" t="str">
        <f>AB8&amp;"-"&amp;AD8</f>
        <v>-да</v>
      </c>
      <c r="Z12" s="1409"/>
      <c r="AA12" s="1409"/>
      <c r="AB12" s="1409"/>
      <c r="AC12" s="1409"/>
      <c r="AD12" s="2128"/>
      <c r="AE12" s="328"/>
      <c r="AF12" s="330"/>
      <c r="AG12" s="432" t="s">
        <v>658</v>
      </c>
      <c r="AH12" s="1409"/>
      <c r="AI12" s="1409"/>
      <c r="AJ12" s="1409"/>
      <c r="AK12" s="1409"/>
      <c r="AL12" s="1409"/>
      <c r="AM12" s="1409"/>
      <c r="AN12" s="1409"/>
      <c r="AO12" s="1409"/>
      <c r="AP12" s="1409"/>
      <c r="AQ12" s="1409"/>
      <c r="AR12" s="1409"/>
      <c r="AS12" s="1409"/>
      <c r="AT12" s="1409"/>
      <c r="AU12" s="1410" t="str">
        <f>AX8&amp;"-"&amp;AZ8</f>
        <v>-</v>
      </c>
      <c r="AV12" s="1409"/>
      <c r="AW12" s="1410" t="str">
        <f>AZ8&amp;"-"&amp;BB8</f>
        <v>-</v>
      </c>
      <c r="AX12" s="1409"/>
      <c r="AY12" s="1409"/>
      <c r="AZ12" s="1409"/>
      <c r="BA12" s="1409"/>
      <c r="BB12" s="1412" t="str">
        <f>BE8&amp;"-"&amp;BG8</f>
        <v>-</v>
      </c>
      <c r="BC12" s="2270"/>
      <c r="BE12" s="516"/>
      <c r="BF12" s="516" t="str">
        <f>IF(T12="","",T12)</f>
        <v/>
      </c>
      <c r="BG12" s="516"/>
      <c r="BH12" s="516"/>
      <c r="BI12" s="1171">
        <v>0</v>
      </c>
    </row>
    <row customHeight="1" ht="11.25" hidden="1">
      <c r="A13" s="1379"/>
      <c r="B13" s="1379"/>
      <c r="C13" s="1379"/>
      <c r="D13" s="1379"/>
      <c r="E13" s="2275"/>
      <c r="F13" s="2275"/>
      <c r="G13" s="2275"/>
      <c r="H13" s="2275"/>
      <c r="I13" s="2302"/>
      <c r="J13" s="2272"/>
      <c r="K13" s="1379"/>
      <c r="L13" s="1380"/>
      <c r="P13" s="2273"/>
      <c r="Q13" s="2273"/>
      <c r="R13" s="372"/>
      <c r="S13" s="1294"/>
      <c r="T13" s="303" t="s">
        <v>617</v>
      </c>
      <c r="U13" s="383"/>
      <c r="V13" s="383"/>
      <c r="W13" s="383"/>
      <c r="X13" s="383"/>
      <c r="Y13" s="383"/>
      <c r="Z13" s="383"/>
      <c r="AA13" s="383"/>
      <c r="AB13" s="383"/>
      <c r="AC13" s="383"/>
      <c r="AD13" s="1521"/>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40"/>
      <c r="BC13" s="2271"/>
      <c r="BE13" s="516"/>
      <c r="BF13" s="516" t="str">
        <f>IF(T13="","",T13)</f>
        <v>Добавить строку</v>
      </c>
      <c r="BG13" s="516"/>
      <c r="BH13" s="516"/>
      <c r="BI13" s="1171">
        <v>0</v>
      </c>
    </row>
    <row s="1658" customFormat="1" customHeight="1" ht="14.25" hidden="1">
      <c r="A14" s="1359"/>
      <c r="B14" s="1359"/>
      <c r="C14" s="1359"/>
      <c r="D14" s="1359"/>
      <c r="E14" s="2275"/>
      <c r="F14" s="2275"/>
      <c r="G14" s="2275"/>
      <c r="H14" s="2275"/>
      <c r="I14" s="2272"/>
      <c r="J14" s="1359"/>
      <c r="K14" s="1359"/>
      <c r="L14" s="1362"/>
      <c r="M14" s="526"/>
      <c r="N14" s="526"/>
      <c r="O14" s="526"/>
      <c r="P14" s="2273"/>
      <c r="Q14" s="1497"/>
      <c r="R14" s="372"/>
      <c r="S14" s="1402"/>
      <c r="T14" s="1403"/>
      <c r="U14" s="1404"/>
      <c r="V14" s="1404"/>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4"/>
      <c r="AR14" s="1404"/>
      <c r="AS14" s="1404"/>
      <c r="AT14" s="1404"/>
      <c r="AU14" s="1404"/>
      <c r="AV14" s="1404"/>
      <c r="AW14" s="1404"/>
      <c r="AX14" s="1404"/>
      <c r="AY14" s="1404"/>
      <c r="AZ14" s="1404"/>
      <c r="BA14" s="1404"/>
      <c r="BB14" s="1404"/>
      <c r="BC14" s="1405"/>
      <c r="BE14" s="516"/>
      <c r="BF14" s="516" t="str">
        <f>IF(T14="","",T14)</f>
        <v/>
      </c>
      <c r="BG14" s="516"/>
      <c r="BH14" s="516"/>
      <c r="BI14" s="527">
        <v>0</v>
      </c>
    </row>
    <row s="1658" customFormat="1" customHeight="1" ht="14.25" hidden="1">
      <c r="A15" s="1359"/>
      <c r="B15" s="1359"/>
      <c r="C15" s="1359"/>
      <c r="D15" s="1359"/>
      <c r="E15" s="2275"/>
      <c r="F15" s="2275"/>
      <c r="G15" s="2275"/>
      <c r="H15" s="2274"/>
      <c r="I15" s="1359"/>
      <c r="J15" s="1359"/>
      <c r="K15" s="1359"/>
      <c r="L15" s="1362"/>
      <c r="M15" s="1331"/>
      <c r="N15" s="1331"/>
      <c r="O15" s="534"/>
      <c r="P15" s="396"/>
      <c r="Q15" s="1360"/>
      <c r="R15" s="1417"/>
      <c r="S15" s="1402"/>
      <c r="T15" s="1403"/>
      <c r="U15" s="1404"/>
      <c r="V15" s="1404"/>
      <c r="W15" s="1404"/>
      <c r="X15" s="1404"/>
      <c r="Y15" s="1404"/>
      <c r="Z15" s="1404"/>
      <c r="AA15" s="1404"/>
      <c r="AB15" s="1404"/>
      <c r="AC15" s="1404"/>
      <c r="AD15" s="1404"/>
      <c r="AE15" s="1404"/>
      <c r="AF15" s="1404"/>
      <c r="AG15" s="1404"/>
      <c r="AH15" s="1404"/>
      <c r="AI15" s="1404"/>
      <c r="AJ15" s="1404"/>
      <c r="AK15" s="1404"/>
      <c r="AL15" s="1404"/>
      <c r="AM15" s="1404"/>
      <c r="AN15" s="1404"/>
      <c r="AO15" s="1404"/>
      <c r="AP15" s="1404"/>
      <c r="AQ15" s="1404"/>
      <c r="AR15" s="1404"/>
      <c r="AS15" s="1404"/>
      <c r="AT15" s="1404"/>
      <c r="AU15" s="1404"/>
      <c r="AV15" s="1404"/>
      <c r="AW15" s="1404"/>
      <c r="AX15" s="1404"/>
      <c r="AY15" s="1404"/>
      <c r="AZ15" s="1404"/>
      <c r="BA15" s="1404"/>
      <c r="BB15" s="1404"/>
      <c r="BC15" s="1405"/>
      <c r="BE15" s="516"/>
      <c r="BF15" s="516" t="str">
        <f>IF(T15="","",T15)</f>
        <v/>
      </c>
      <c r="BG15" s="516"/>
      <c r="BH15" s="516"/>
      <c r="BI15" s="527">
        <v>0</v>
      </c>
    </row>
    <row s="1658" customFormat="1" customHeight="1" ht="14.25" hidden="1">
      <c r="A16" s="1359"/>
      <c r="B16" s="1359"/>
      <c r="C16" s="1359"/>
      <c r="D16" s="1330"/>
      <c r="E16" s="2275"/>
      <c r="F16" s="2275"/>
      <c r="G16" s="2274"/>
      <c r="H16" s="1330"/>
      <c r="I16" s="1330"/>
      <c r="J16" s="1330"/>
      <c r="K16" s="1330"/>
      <c r="L16" s="1510"/>
      <c r="M16" s="1331"/>
      <c r="N16" s="1331"/>
      <c r="P16" s="1332"/>
      <c r="Q16" s="1333"/>
      <c r="R16" s="1332"/>
      <c r="S16" s="1338"/>
      <c r="T16" s="1341"/>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c r="BA16" s="1340"/>
      <c r="BB16" s="1340"/>
      <c r="BC16" s="1340"/>
      <c r="BE16" s="805"/>
      <c r="BF16" s="805" t="str">
        <f>IF(T16="","",T16)</f>
        <v/>
      </c>
      <c r="BG16" s="805"/>
      <c r="BH16" s="805"/>
      <c r="BI16" s="534">
        <v>0</v>
      </c>
    </row>
    <row s="1658" customFormat="1" customHeight="1" ht="14.25" hidden="1">
      <c r="A17" s="1359"/>
      <c r="B17" s="1359"/>
      <c r="C17" s="1330"/>
      <c r="D17" s="1330"/>
      <c r="E17" s="2275"/>
      <c r="F17" s="2274"/>
      <c r="G17" s="1330"/>
      <c r="H17" s="1330"/>
      <c r="I17" s="1330"/>
      <c r="J17" s="1330"/>
      <c r="K17" s="1330"/>
      <c r="L17" s="1510"/>
      <c r="M17" s="1337"/>
      <c r="N17" s="1337"/>
      <c r="P17" s="1332"/>
      <c r="Q17" s="1333"/>
      <c r="R17" s="1332"/>
      <c r="S17" s="1338"/>
      <c r="T17" s="1341" t="s">
        <v>269</v>
      </c>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E17" s="805"/>
      <c r="BF17" s="805" t="str">
        <f>IF(T17="","",T17)</f>
        <v>Добавить централизованную систему для дифференциации</v>
      </c>
      <c r="BG17" s="805"/>
      <c r="BH17" s="805"/>
      <c r="BI17" s="534">
        <v>0</v>
      </c>
    </row>
    <row s="1658" customFormat="1" customHeight="1" ht="14.25" hidden="1">
      <c r="A18" s="1359"/>
      <c r="B18" s="1359"/>
      <c r="C18" s="1359"/>
      <c r="D18" s="1359"/>
      <c r="E18" s="2274"/>
      <c r="F18" s="1359"/>
      <c r="G18" s="1359"/>
      <c r="H18" s="1359"/>
      <c r="I18" s="1359"/>
      <c r="J18" s="1359"/>
      <c r="K18" s="1359"/>
      <c r="L18" s="1362"/>
      <c r="M18" s="1337"/>
      <c r="N18" s="1337"/>
      <c r="O18" s="534"/>
      <c r="P18" s="396"/>
      <c r="Q18" s="1360"/>
      <c r="R18" s="396"/>
      <c r="S18" s="1338"/>
      <c r="T18" s="1341" t="s">
        <v>330</v>
      </c>
      <c r="U18" s="1340"/>
      <c r="V18" s="1340"/>
      <c r="W18" s="1340"/>
      <c r="X18" s="1340"/>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0"/>
      <c r="BC18" s="1340"/>
      <c r="BE18" s="516"/>
      <c r="BF18" s="516" t="str">
        <f>IF(T18="","",T18)</f>
        <v>Добавить территорию для дифференциации</v>
      </c>
      <c r="BG18" s="516"/>
      <c r="BH18" s="516"/>
      <c r="BI18" s="527">
        <v>0</v>
      </c>
    </row>
    <row customHeight="1" ht="14.25" hidden="1">
      <c r="AC19" s="343"/>
      <c r="BA19" s="343"/>
      <c r="BI19" s="1171">
        <v>0</v>
      </c>
    </row>
    <row customHeight="1" ht="14.25" hidden="1">
      <c r="AD20" s="1340" t="s">
        <v>19</v>
      </c>
      <c r="AE20" s="1517"/>
      <c r="AF20" s="564">
        <v>1</v>
      </c>
      <c r="AG20" s="1518"/>
      <c r="AH20" s="1340" t="s">
        <v>19</v>
      </c>
      <c r="AI20" s="1517"/>
      <c r="AJ20" s="564">
        <v>1</v>
      </c>
      <c r="AK20" s="1518"/>
      <c r="AL20" s="1340" t="s">
        <v>19</v>
      </c>
      <c r="AM20" s="1519"/>
      <c r="AN20" s="564">
        <v>1</v>
      </c>
      <c r="AO20" s="1520"/>
      <c r="AP20" s="1340" t="s">
        <v>19</v>
      </c>
      <c r="AQ20" s="1519"/>
      <c r="AR20" s="564">
        <v>1</v>
      </c>
      <c r="AS20" s="1520"/>
      <c r="AT20" s="341"/>
      <c r="AU20" s="400"/>
      <c r="AV20" s="341"/>
      <c r="AW20" s="400"/>
      <c r="AX20" s="1752"/>
      <c r="AY20" s="1501" t="s">
        <v>64</v>
      </c>
      <c r="AZ20" s="1752"/>
      <c r="BA20" s="1501" t="s">
        <v>64</v>
      </c>
      <c r="BI20" s="1171">
        <v>0</v>
      </c>
    </row>
    <row customHeight="1" ht="14.25" hidden="1">
      <c r="BD21" s="512"/>
      <c r="BE21" s="512"/>
      <c r="BF21" s="512"/>
      <c r="BG21" s="512"/>
      <c r="BH21" s="512"/>
      <c r="BI21" s="1171">
        <v>0</v>
      </c>
    </row>
    <row customHeight="1" ht="14.25" hidden="1">
      <c r="O22" s="1383" t="s">
        <v>567</v>
      </c>
      <c r="Z22" s="1361"/>
      <c r="AB22" s="1361"/>
      <c r="AC22" s="343"/>
      <c r="AX22" s="1361"/>
      <c r="AZ22" s="1361"/>
      <c r="BA22" s="343"/>
      <c r="BD22" s="512"/>
      <c r="BE22" s="512"/>
      <c r="BF22" s="512"/>
      <c r="BG22" s="512"/>
      <c r="BH22" s="512"/>
      <c r="BI22" s="1171">
        <v>0</v>
      </c>
    </row>
    <row customHeight="1" ht="14.25" hidden="1">
      <c r="AC23" s="343"/>
      <c r="BA23" s="343"/>
      <c r="BD23" s="512"/>
      <c r="BE23" s="512"/>
      <c r="BF23" s="512"/>
      <c r="BG23" s="512"/>
      <c r="BH23" s="512"/>
      <c r="BI23" s="1171">
        <v>0</v>
      </c>
    </row>
    <row s="1525" customFormat="1" customHeight="1" ht="14.25" hidden="1">
      <c r="M24" s="1524"/>
      <c r="N24" s="1524"/>
      <c r="O24" s="1525" t="s">
        <v>568</v>
      </c>
      <c r="P24" s="1524"/>
      <c r="Q24" s="1526"/>
      <c r="R24" s="1526"/>
      <c r="AA24" s="1523" t="s">
        <v>570</v>
      </c>
      <c r="AC24" s="1523" t="s">
        <v>571</v>
      </c>
      <c r="AD24" s="1523" t="s">
        <v>618</v>
      </c>
      <c r="AH24" s="1523" t="s">
        <v>618</v>
      </c>
      <c r="AK24" s="1523" t="s">
        <v>659</v>
      </c>
      <c r="AL24" s="1523" t="s">
        <v>618</v>
      </c>
      <c r="AP24" s="1523" t="s">
        <v>618</v>
      </c>
      <c r="AY24" s="1523" t="s">
        <v>570</v>
      </c>
      <c r="BA24" s="1523" t="s">
        <v>571</v>
      </c>
      <c r="BD24" s="1527"/>
      <c r="BE24" s="1527"/>
      <c r="BF24" s="1527"/>
      <c r="BG24" s="1527"/>
      <c r="BH24" s="1527"/>
      <c r="BI24" s="1523">
        <v>0</v>
      </c>
    </row>
    <row customHeight="1" ht="14.25" hidden="1">
      <c r="O25" s="1380"/>
      <c r="BD25" s="512"/>
      <c r="BE25" s="512"/>
      <c r="BF25" s="512"/>
      <c r="BG25" s="512"/>
      <c r="BH25" s="512"/>
      <c r="BI25" s="1171">
        <v>0</v>
      </c>
    </row>
    <row customHeight="1" ht="14.25" hidden="1">
      <c r="O26" s="1380"/>
      <c r="BD26" s="512"/>
      <c r="BE26" s="512"/>
      <c r="BF26" s="512"/>
      <c r="BG26" s="512"/>
      <c r="BH26" s="512"/>
      <c r="BI26" s="1171">
        <v>0</v>
      </c>
    </row>
    <row customHeight="1" ht="14.699999999999998">
      <c r="Q27" s="307"/>
      <c r="R27" s="392"/>
      <c r="S27" s="1291"/>
      <c r="T27" s="379"/>
      <c r="U27" s="379"/>
      <c r="V27" s="525"/>
      <c r="W27" s="525"/>
      <c r="X27" s="525"/>
      <c r="Y27" s="525"/>
      <c r="Z27" s="525"/>
      <c r="AA27" s="525"/>
      <c r="AB27" s="525"/>
      <c r="AC27" s="525"/>
      <c r="AD27" s="525"/>
      <c r="AE27" s="525"/>
      <c r="AF27" s="525"/>
      <c r="AG27" s="525"/>
      <c r="AH27" s="525"/>
      <c r="AI27" s="525"/>
      <c r="AJ27" s="525"/>
      <c r="AK27" s="525"/>
      <c r="AL27" s="525"/>
      <c r="AM27" s="525"/>
      <c r="AN27" s="525"/>
      <c r="AO27" s="525"/>
      <c r="AP27" s="525"/>
      <c r="AQ27" s="525"/>
      <c r="AR27" s="525"/>
      <c r="AS27" s="525"/>
      <c r="AT27" s="525"/>
      <c r="AU27" s="525"/>
      <c r="AV27" s="525"/>
      <c r="AW27" s="525"/>
      <c r="AX27" s="525"/>
      <c r="AY27" s="525"/>
      <c r="AZ27" s="525"/>
      <c r="BA27" s="525"/>
      <c r="BI27" s="1171">
        <v>14</v>
      </c>
    </row>
    <row customHeight="1" ht="14.699999999999998">
      <c r="Q28" s="307"/>
      <c r="R28" s="392"/>
      <c r="S28" s="226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59"/>
      <c r="BI28" s="1171">
        <v>14</v>
      </c>
    </row>
    <row customHeight="1" ht="14.699999999999998">
      <c r="Q29" s="307"/>
      <c r="R29" s="392"/>
      <c r="S29" s="2265" t="str">
        <f>IF(org=0,"Не определено",org)</f>
        <v>КГУП "Примтеплоэнерго"</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59"/>
      <c r="BI29" s="1171">
        <v>14</v>
      </c>
    </row>
    <row customHeight="1" ht="14.25">
      <c r="Q30" s="307"/>
      <c r="R30" s="392"/>
      <c r="S30" s="1291"/>
      <c r="T30" s="379"/>
      <c r="U30" s="379"/>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525"/>
      <c r="BI30" s="1171">
        <v>0</v>
      </c>
    </row>
    <row s="1869" customFormat="1" customHeight="1" ht="25.5">
      <c r="A31" s="1384"/>
      <c r="B31" s="1384"/>
      <c r="C31" s="1384"/>
      <c r="D31" s="1384"/>
      <c r="E31" s="1384"/>
      <c r="F31" s="1384"/>
      <c r="G31" s="1384"/>
      <c r="H31" s="1384"/>
      <c r="I31" s="1384"/>
      <c r="J31" s="1384"/>
      <c r="K31" s="1384"/>
      <c r="L31" s="1385"/>
      <c r="M31" s="1384"/>
      <c r="N31" s="1384"/>
      <c r="O31" s="1384"/>
      <c r="P31" s="1384"/>
      <c r="Q31" s="1384"/>
      <c r="S31" s="2266" t="s">
        <v>42</v>
      </c>
      <c r="T31" s="2266"/>
      <c r="U31" s="1388"/>
      <c r="V31" s="2267" t="str">
        <f>IF(TITLE_NAME_OR_PR_CHANGE="",IF(TITLE_NAME_OR_PR="","",TITLE_NAME_OR_PR),TITLE_NAME_OR_PR_CHANGE)</f>
        <v>Агентство по тарифам Приморского края</v>
      </c>
      <c r="W31" s="2267"/>
      <c r="X31" s="2267"/>
      <c r="Y31" s="2267"/>
      <c r="Z31" s="2267"/>
      <c r="AA31" s="2267"/>
      <c r="AB31" s="2267"/>
      <c r="AC31" s="342"/>
      <c r="AD31" s="2267" t="str">
        <f>IF(TITLE_NAME_OR_PR_CHANGE="",IF(TITLE_NAME_OR_PR="","",TITLE_NAME_OR_PR),TITLE_NAME_OR_PR_CHANGE)</f>
        <v>Агентство по тарифам Приморского края</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42"/>
      <c r="BB31" s="342"/>
      <c r="BC31" s="296"/>
      <c r="BD31" s="384"/>
      <c r="BE31" s="384"/>
      <c r="BF31" s="384"/>
      <c r="BG31" s="384"/>
      <c r="BH31" s="384"/>
      <c r="BI31" s="434">
        <v>0</v>
      </c>
    </row>
    <row s="1869" customFormat="1" customHeight="1" ht="18.75">
      <c r="A32" s="1384"/>
      <c r="B32" s="1384"/>
      <c r="C32" s="1384"/>
      <c r="D32" s="1384"/>
      <c r="E32" s="1384"/>
      <c r="F32" s="1384"/>
      <c r="G32" s="1384"/>
      <c r="H32" s="1384"/>
      <c r="I32" s="1384"/>
      <c r="J32" s="1384"/>
      <c r="K32" s="1384"/>
      <c r="L32" s="1385"/>
      <c r="M32" s="1384"/>
      <c r="N32" s="1384"/>
      <c r="O32" s="1384"/>
      <c r="P32" s="1384"/>
      <c r="Q32" s="1384"/>
      <c r="S32" s="2266" t="s">
        <v>573</v>
      </c>
      <c r="T32" s="2266"/>
      <c r="U32" s="1388"/>
      <c r="V32" s="2280" t="str">
        <f>IF(TITLE_DATE_PR_CHANGE="",IF(TITLE_DATE_PR="","",TITLE_DATE_PR),TITLE_DATE_PR_CHANGE)</f>
        <v>45910</v>
      </c>
      <c r="W32" s="2280"/>
      <c r="X32" s="2280"/>
      <c r="Y32" s="2280"/>
      <c r="Z32" s="2280"/>
      <c r="AA32" s="2280"/>
      <c r="AB32" s="2280"/>
      <c r="AC32" s="342"/>
      <c r="AD32" s="2280" t="str">
        <f>IF(TITLE_DATE_PR_CHANGE="",IF(TITLE_DATE_PR="","",TITLE_DATE_PR),TITLE_DATE_PR_CHANGE)</f>
        <v>45910</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42"/>
      <c r="BB32" s="342"/>
      <c r="BC32" s="296"/>
      <c r="BD32" s="384"/>
      <c r="BE32" s="384"/>
      <c r="BF32" s="384"/>
      <c r="BG32" s="384"/>
      <c r="BH32" s="384"/>
      <c r="BI32" s="434">
        <v>0</v>
      </c>
    </row>
    <row s="1869" customFormat="1" customHeight="1" ht="18.75">
      <c r="A33" s="1384"/>
      <c r="B33" s="1384"/>
      <c r="C33" s="1384"/>
      <c r="D33" s="1384"/>
      <c r="E33" s="1384"/>
      <c r="F33" s="1384"/>
      <c r="G33" s="1384"/>
      <c r="H33" s="1384"/>
      <c r="I33" s="1384"/>
      <c r="J33" s="1384"/>
      <c r="K33" s="1384"/>
      <c r="L33" s="1385"/>
      <c r="M33" s="1384"/>
      <c r="N33" s="1384"/>
      <c r="O33" s="1384"/>
      <c r="P33" s="1384"/>
      <c r="Q33" s="1384"/>
      <c r="S33" s="2266" t="s">
        <v>574</v>
      </c>
      <c r="T33" s="2266"/>
      <c r="U33" s="1388"/>
      <c r="V33" s="2267" t="str">
        <f>IF(TITLE_NUMBER_PR_CHANGE="",IF(TITLE_NUMBER_PR="","",TITLE_NUMBER_PR),TITLE_NUMBER_PR_CHANGE)</f>
        <v>37/2</v>
      </c>
      <c r="W33" s="2267"/>
      <c r="X33" s="2267"/>
      <c r="Y33" s="2267"/>
      <c r="Z33" s="2267"/>
      <c r="AA33" s="2267"/>
      <c r="AB33" s="2267"/>
      <c r="AC33" s="342"/>
      <c r="AD33" s="2267" t="str">
        <f>IF(TITLE_NUMBER_PR_CHANGE="",IF(TITLE_NUMBER_PR="","",TITLE_NUMBER_PR),TITLE_NUMBER_PR_CHANGE)</f>
        <v>37/2</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42"/>
      <c r="BB33" s="342"/>
      <c r="BC33" s="296"/>
      <c r="BD33" s="384"/>
      <c r="BE33" s="384"/>
      <c r="BF33" s="384"/>
      <c r="BG33" s="384"/>
      <c r="BH33" s="384"/>
      <c r="BI33" s="434">
        <v>0</v>
      </c>
    </row>
    <row s="1869" customFormat="1" customHeight="1" ht="18.75">
      <c r="A34" s="1384"/>
      <c r="B34" s="1384"/>
      <c r="C34" s="1384"/>
      <c r="D34" s="1384"/>
      <c r="E34" s="1384"/>
      <c r="F34" s="1384"/>
      <c r="G34" s="1384"/>
      <c r="H34" s="1384"/>
      <c r="I34" s="1384"/>
      <c r="J34" s="1384"/>
      <c r="K34" s="1384"/>
      <c r="L34" s="1385"/>
      <c r="M34" s="1384"/>
      <c r="N34" s="1384"/>
      <c r="O34" s="1384"/>
      <c r="P34" s="1384"/>
      <c r="Q34" s="1384"/>
      <c r="S34" s="2266" t="s">
        <v>44</v>
      </c>
      <c r="T34" s="2266"/>
      <c r="U34" s="1388"/>
      <c r="V34" s="2267" t="str">
        <f>IF(TITLE_IST_PUB_CHANGE="",IF(TITLE_IST_PUB="","",TITLE_IST_PUB),TITLE_IST_PUB_CHANGE)</f>
        <v>http://pravo.gov.ru</v>
      </c>
      <c r="W34" s="2267"/>
      <c r="X34" s="2267"/>
      <c r="Y34" s="2267"/>
      <c r="Z34" s="2267"/>
      <c r="AA34" s="2267"/>
      <c r="AB34" s="2267"/>
      <c r="AC34" s="342"/>
      <c r="AD34" s="2267" t="str">
        <f>IF(TITLE_IST_PUB_CHANGE="",IF(TITLE_IST_PUB="","",TITLE_IST_PUB),TITLE_IST_PUB_CHANGE)</f>
        <v>http://pravo.gov.ru</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42"/>
      <c r="BB34" s="342"/>
      <c r="BC34" s="296"/>
      <c r="BD34" s="384"/>
      <c r="BE34" s="384"/>
      <c r="BF34" s="384"/>
      <c r="BG34" s="384"/>
      <c r="BH34" s="384"/>
      <c r="BI34" s="434">
        <v>0</v>
      </c>
    </row>
    <row customHeight="1" ht="14.25" hidden="1">
      <c r="Q35" s="307"/>
      <c r="R35" s="392"/>
      <c r="S35" s="1291"/>
      <c r="T35" s="379"/>
      <c r="U35" s="379"/>
      <c r="V35" s="338"/>
      <c r="W35" s="338"/>
      <c r="X35" s="338"/>
      <c r="Y35" s="338"/>
      <c r="Z35" s="338"/>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8"/>
      <c r="AY35" s="338"/>
      <c r="AZ35" s="338"/>
      <c r="BA35" s="338"/>
      <c r="BB35" s="525"/>
      <c r="BI35" s="1171">
        <v>0</v>
      </c>
    </row>
    <row s="1869" customFormat="1" customHeight="1" ht="18.75" hidden="1">
      <c r="A36" s="1384"/>
      <c r="B36" s="1384"/>
      <c r="C36" s="1384"/>
      <c r="D36" s="1384"/>
      <c r="E36" s="1384"/>
      <c r="F36" s="1384"/>
      <c r="G36" s="1384"/>
      <c r="H36" s="1384"/>
      <c r="I36" s="1384"/>
      <c r="J36" s="1384"/>
      <c r="K36" s="1384"/>
      <c r="L36" s="1385"/>
      <c r="M36" s="1384"/>
      <c r="N36" s="1384"/>
      <c r="O36" s="1384"/>
      <c r="P36" s="1384"/>
      <c r="Q36" s="1384"/>
      <c r="S36" s="2266" t="s">
        <v>573</v>
      </c>
      <c r="T36" s="2266"/>
      <c r="U36" s="1388"/>
      <c r="V36" s="2280" t="str">
        <f>IF(TITLE_DATE_PR_CHANGE="",IF(TITLE_DATE_PR="","",TITLE_DATE_PR),TITLE_DATE_PR_CHANGE)</f>
        <v>45910</v>
      </c>
      <c r="W36" s="2280"/>
      <c r="X36" s="2280"/>
      <c r="Y36" s="2280"/>
      <c r="Z36" s="2280"/>
      <c r="AA36" s="2280"/>
      <c r="AB36" s="2280"/>
      <c r="AC36" s="342"/>
      <c r="AD36" s="2280" t="str">
        <f>IF(TITLE_DATE_PR_CHANGE="",IF(TITLE_DATE_PR="","",TITLE_DATE_PR),TITLE_DATE_PR_CHANGE)</f>
        <v>45910</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42"/>
      <c r="BB36" s="342"/>
      <c r="BC36" s="296"/>
      <c r="BD36" s="384"/>
      <c r="BE36" s="384"/>
      <c r="BF36" s="384"/>
      <c r="BG36" s="384"/>
      <c r="BH36" s="384"/>
      <c r="BI36" s="434">
        <v>0</v>
      </c>
    </row>
    <row s="1869" customFormat="1" customHeight="1" ht="18.75" hidden="1">
      <c r="A37" s="1384"/>
      <c r="B37" s="1384"/>
      <c r="C37" s="1384"/>
      <c r="D37" s="1384"/>
      <c r="E37" s="1384"/>
      <c r="F37" s="1384"/>
      <c r="G37" s="1384"/>
      <c r="H37" s="1384"/>
      <c r="I37" s="1384"/>
      <c r="J37" s="1384"/>
      <c r="K37" s="1384"/>
      <c r="L37" s="1385"/>
      <c r="M37" s="1384"/>
      <c r="N37" s="1384"/>
      <c r="O37" s="1384"/>
      <c r="P37" s="1384"/>
      <c r="Q37" s="1384"/>
      <c r="S37" s="2266" t="s">
        <v>574</v>
      </c>
      <c r="T37" s="2266"/>
      <c r="U37" s="1388"/>
      <c r="V37" s="2267" t="str">
        <f>IF(TITLE_NUMBER_PR_CHANGE="",IF(TITLE_NUMBER_PR="","",TITLE_NUMBER_PR),TITLE_NUMBER_PR_CHANGE)</f>
        <v>37/2</v>
      </c>
      <c r="W37" s="2267"/>
      <c r="X37" s="2267"/>
      <c r="Y37" s="2267"/>
      <c r="Z37" s="2267"/>
      <c r="AA37" s="2267"/>
      <c r="AB37" s="2267"/>
      <c r="AC37" s="342"/>
      <c r="AD37" s="2267" t="str">
        <f>IF(TITLE_NUMBER_PR_CHANGE="",IF(TITLE_NUMBER_PR="","",TITLE_NUMBER_PR),TITLE_NUMBER_PR_CHANGE)</f>
        <v>37/2</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42"/>
      <c r="BB37" s="342"/>
      <c r="BC37" s="296"/>
      <c r="BD37" s="384"/>
      <c r="BE37" s="384"/>
      <c r="BF37" s="384"/>
      <c r="BG37" s="384"/>
      <c r="BH37" s="384"/>
      <c r="BI37" s="434">
        <v>0</v>
      </c>
    </row>
    <row s="1869" customFormat="1" customHeight="1" ht="0">
      <c r="A38" s="1384"/>
      <c r="B38" s="1384"/>
      <c r="C38" s="1384"/>
      <c r="D38" s="1384"/>
      <c r="E38" s="1384"/>
      <c r="F38" s="1384"/>
      <c r="G38" s="1384"/>
      <c r="H38" s="1384"/>
      <c r="I38" s="1384"/>
      <c r="J38" s="1384"/>
      <c r="K38" s="1384"/>
      <c r="L38" s="1385"/>
      <c r="M38" s="1384"/>
      <c r="N38" s="1384"/>
      <c r="O38" s="1384"/>
      <c r="P38" s="1384"/>
      <c r="Q38" s="1384"/>
      <c r="S38" s="339"/>
      <c r="T38" s="339"/>
      <c r="U38" s="1504"/>
      <c r="V38" s="342"/>
      <c r="W38" s="342"/>
      <c r="X38" s="342"/>
      <c r="Y38" s="342"/>
      <c r="Z38" s="342"/>
      <c r="AA38" s="342"/>
      <c r="AB38" s="342"/>
      <c r="AC38" s="294" t="s">
        <v>577</v>
      </c>
      <c r="AD38" s="342"/>
      <c r="AE38" s="342"/>
      <c r="AF38" s="342"/>
      <c r="AG38" s="342"/>
      <c r="AH38" s="342"/>
      <c r="AI38" s="342"/>
      <c r="AJ38" s="342"/>
      <c r="AK38" s="342"/>
      <c r="AL38" s="342"/>
      <c r="AM38" s="342"/>
      <c r="AN38" s="342"/>
      <c r="AO38" s="342"/>
      <c r="AP38" s="342"/>
      <c r="AQ38" s="342"/>
      <c r="AR38" s="342"/>
      <c r="AS38" s="342"/>
      <c r="AT38" s="342"/>
      <c r="AU38" s="342"/>
      <c r="AV38" s="342"/>
      <c r="AW38" s="342"/>
      <c r="AX38" s="342"/>
      <c r="AY38" s="342"/>
      <c r="AZ38" s="342"/>
      <c r="BA38" s="294" t="s">
        <v>577</v>
      </c>
      <c r="BD38" s="384"/>
      <c r="BE38" s="384"/>
      <c r="BF38" s="384"/>
      <c r="BG38" s="384"/>
      <c r="BH38" s="384"/>
      <c r="BI38" s="434">
        <v>0</v>
      </c>
    </row>
    <row customHeight="1" ht="14.699999999999998">
      <c r="Q39" s="307"/>
      <c r="R39" s="392"/>
      <c r="S39" s="1291"/>
      <c r="T39" s="379"/>
      <c r="U39" s="1260"/>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71">
        <v>14</v>
      </c>
    </row>
    <row customHeight="1" ht="14.699999999999998">
      <c r="Q40" s="307"/>
      <c r="R40" s="392"/>
      <c r="S40" s="2143" t="s">
        <v>453</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454</v>
      </c>
      <c r="BI40" s="1171">
        <v>14</v>
      </c>
    </row>
    <row customHeight="1" ht="14.699999999999998">
      <c r="Q41" s="307"/>
      <c r="R41" s="392"/>
      <c r="S41" s="2289" t="s">
        <v>91</v>
      </c>
      <c r="T41" s="2225" t="s">
        <v>660</v>
      </c>
      <c r="U41" s="317"/>
      <c r="V41" s="2290" t="s">
        <v>579</v>
      </c>
      <c r="W41" s="2291"/>
      <c r="X41" s="2291"/>
      <c r="Y41" s="2291"/>
      <c r="Z41" s="2291"/>
      <c r="AA41" s="2291"/>
      <c r="AB41" s="2292"/>
      <c r="AC41" s="2293" t="s">
        <v>580</v>
      </c>
      <c r="AD41" s="2344" t="s">
        <v>677</v>
      </c>
      <c r="AE41" s="2307"/>
      <c r="AF41" s="2307"/>
      <c r="AG41" s="2345"/>
      <c r="AH41" s="2344" t="s">
        <v>678</v>
      </c>
      <c r="AI41" s="2307"/>
      <c r="AJ41" s="2307"/>
      <c r="AK41" s="2345"/>
      <c r="AL41" s="2344" t="s">
        <v>679</v>
      </c>
      <c r="AM41" s="2307"/>
      <c r="AN41" s="2307"/>
      <c r="AO41" s="2345"/>
      <c r="AP41" s="2344" t="s">
        <v>664</v>
      </c>
      <c r="AQ41" s="2307"/>
      <c r="AR41" s="2307"/>
      <c r="AS41" s="2345"/>
      <c r="AT41" s="2290" t="s">
        <v>579</v>
      </c>
      <c r="AU41" s="2291"/>
      <c r="AV41" s="2291"/>
      <c r="AW41" s="2291"/>
      <c r="AX41" s="2291"/>
      <c r="AY41" s="2291"/>
      <c r="AZ41" s="2292"/>
      <c r="BA41" s="2293" t="s">
        <v>580</v>
      </c>
      <c r="BB41" s="2296" t="s">
        <v>582</v>
      </c>
      <c r="BC41" s="2143"/>
      <c r="BI41" s="1171">
        <v>14</v>
      </c>
    </row>
    <row customHeight="1" ht="35.699999999999996">
      <c r="Q42" s="307"/>
      <c r="R42" s="392"/>
      <c r="S42" s="2289"/>
      <c r="T42" s="2225"/>
      <c r="U42" s="1047"/>
      <c r="V42" s="2208" t="s">
        <v>665</v>
      </c>
      <c r="W42" s="2209"/>
      <c r="X42" s="2208" t="s">
        <v>666</v>
      </c>
      <c r="Y42" s="2209"/>
      <c r="Z42" s="2310" t="s">
        <v>667</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680</v>
      </c>
      <c r="AU42" s="2209"/>
      <c r="AV42" s="2208" t="s">
        <v>681</v>
      </c>
      <c r="AW42" s="2209"/>
      <c r="AX42" s="2310" t="s">
        <v>667</v>
      </c>
      <c r="AY42" s="2329"/>
      <c r="AZ42" s="2330"/>
      <c r="BA42" s="2294"/>
      <c r="BB42" s="2297"/>
      <c r="BC42" s="2143"/>
      <c r="BI42" s="1171">
        <v>34</v>
      </c>
    </row>
    <row customHeight="1" ht="14.699999999999998">
      <c r="Q43" s="307"/>
      <c r="R43" s="392"/>
      <c r="S43" s="2289"/>
      <c r="T43" s="2225"/>
      <c r="U43" s="1047"/>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71">
        <v>14</v>
      </c>
    </row>
    <row customHeight="1" ht="14.699999999999998">
      <c r="A44" s="1386"/>
      <c r="B44" s="1386" t="s">
        <v>204</v>
      </c>
      <c r="C44" s="1386" t="s">
        <v>205</v>
      </c>
      <c r="D44" s="1386" t="s">
        <v>206</v>
      </c>
      <c r="E44" s="1380" t="s">
        <v>587</v>
      </c>
      <c r="F44" s="1380" t="s">
        <v>588</v>
      </c>
      <c r="G44" s="1380" t="s">
        <v>589</v>
      </c>
      <c r="H44" s="1380" t="s">
        <v>590</v>
      </c>
      <c r="I44" s="1380" t="s">
        <v>591</v>
      </c>
      <c r="J44" s="1380" t="s">
        <v>592</v>
      </c>
      <c r="K44" s="1380" t="s">
        <v>593</v>
      </c>
      <c r="L44" s="1380" t="s">
        <v>568</v>
      </c>
      <c r="Q44" s="307"/>
      <c r="R44" s="392"/>
      <c r="S44" s="2289"/>
      <c r="T44" s="2225"/>
      <c r="U44" s="318"/>
      <c r="V44" s="1495" t="s">
        <v>628</v>
      </c>
      <c r="W44" s="1495" t="s">
        <v>629</v>
      </c>
      <c r="X44" s="1495" t="s">
        <v>628</v>
      </c>
      <c r="Y44" s="1495" t="s">
        <v>629</v>
      </c>
      <c r="Z44" s="1505" t="s">
        <v>596</v>
      </c>
      <c r="AA44" s="2286" t="s">
        <v>597</v>
      </c>
      <c r="AB44" s="2287"/>
      <c r="AC44" s="2295"/>
      <c r="AD44" s="2349"/>
      <c r="AE44" s="2350"/>
      <c r="AF44" s="2350"/>
      <c r="AG44" s="2351"/>
      <c r="AH44" s="2349"/>
      <c r="AI44" s="2350"/>
      <c r="AJ44" s="2350"/>
      <c r="AK44" s="2351"/>
      <c r="AL44" s="2349"/>
      <c r="AM44" s="2350"/>
      <c r="AN44" s="2350"/>
      <c r="AO44" s="2351"/>
      <c r="AP44" s="2349"/>
      <c r="AQ44" s="2350"/>
      <c r="AR44" s="2350"/>
      <c r="AS44" s="2351"/>
      <c r="AT44" s="1495" t="s">
        <v>628</v>
      </c>
      <c r="AU44" s="1495" t="s">
        <v>629</v>
      </c>
      <c r="AV44" s="1495" t="s">
        <v>628</v>
      </c>
      <c r="AW44" s="1495" t="s">
        <v>629</v>
      </c>
      <c r="AX44" s="1505" t="s">
        <v>596</v>
      </c>
      <c r="AY44" s="2286" t="s">
        <v>597</v>
      </c>
      <c r="AZ44" s="2287"/>
      <c r="BA44" s="2295"/>
      <c r="BB44" s="2298"/>
      <c r="BC44" s="2143"/>
      <c r="BI44" s="1171">
        <v>14</v>
      </c>
    </row>
    <row s="1657" customFormat="1" customHeight="1" ht="11.25" hidden="1">
      <c r="A45" s="1386"/>
      <c r="B45" s="1386"/>
      <c r="C45" s="1386"/>
      <c r="D45" s="1386"/>
      <c r="E45" s="1386"/>
      <c r="F45" s="1386"/>
      <c r="G45" s="1386"/>
      <c r="H45" s="1386"/>
      <c r="I45" s="1386"/>
      <c r="J45" s="1386"/>
      <c r="K45" s="1386"/>
      <c r="L45" s="1380"/>
      <c r="M45" s="1378"/>
      <c r="N45" s="1378"/>
      <c r="O45" s="1378"/>
      <c r="P45" s="526"/>
      <c r="Q45" s="1270"/>
      <c r="R45" s="1270">
        <v>1</v>
      </c>
      <c r="S45" s="1293" t="s">
        <v>141</v>
      </c>
      <c r="T45" s="1271" t="s">
        <v>107</v>
      </c>
      <c r="U45" s="1261" t="str">
        <f>OFFSET(U45,0,-1)</f>
        <v>2</v>
      </c>
      <c r="V45" s="1498">
        <f>OFFSET(V45,0,-1)+1</f>
        <v>3</v>
      </c>
      <c r="W45" s="1498">
        <f>OFFSET(W45,0,-1)+1</f>
        <v>4</v>
      </c>
      <c r="X45" s="1498">
        <f>OFFSET(X45,0,-1)+1</f>
        <v>5</v>
      </c>
      <c r="Y45" s="1498">
        <f>OFFSET(Y45,0,-1)+1</f>
        <v>6</v>
      </c>
      <c r="Z45" s="1498">
        <f>OFFSET(Z45,0,-1)+1</f>
        <v>7</v>
      </c>
      <c r="AA45" s="2288">
        <f>OFFSET(AA45,0,-1)+1</f>
        <v>8</v>
      </c>
      <c r="AB45" s="2288"/>
      <c r="AC45" s="1498">
        <f>OFFSET(AC45,0,-2)+1</f>
        <v>9</v>
      </c>
      <c r="AD45" s="1498">
        <f>OFFSET(AD45,0,-1)+1</f>
        <v>10</v>
      </c>
      <c r="AE45" s="1498"/>
      <c r="AF45" s="1498"/>
      <c r="AG45" s="1498"/>
      <c r="AH45" s="1498"/>
      <c r="AI45" s="1498"/>
      <c r="AJ45" s="1498"/>
      <c r="AK45" s="1498"/>
      <c r="AL45" s="1498"/>
      <c r="AM45" s="1498"/>
      <c r="AN45" s="1498"/>
      <c r="AO45" s="1498"/>
      <c r="AP45" s="1498"/>
      <c r="AQ45" s="1498"/>
      <c r="AR45" s="1498"/>
      <c r="AS45" s="1498"/>
      <c r="AT45" s="1498"/>
      <c r="AU45" s="1498"/>
      <c r="AV45" s="1498"/>
      <c r="AW45" s="1498">
        <f>OFFSET(AW45,0,-1)+1</f>
        <v>1</v>
      </c>
      <c r="AX45" s="1498">
        <f>OFFSET(AX45,0,-1)+1</f>
        <v>2</v>
      </c>
      <c r="AY45" s="2288">
        <f>OFFSET(AY45,0,-1)+1</f>
        <v>3</v>
      </c>
      <c r="AZ45" s="2288"/>
      <c r="BA45" s="1498">
        <f>OFFSET(BA45,0,-2)+1</f>
        <v>4</v>
      </c>
      <c r="BB45" s="1261">
        <f>OFFSET(BB45,0,-1)</f>
        <v>4</v>
      </c>
      <c r="BC45" s="1498">
        <f>OFFSET(BC45,0,-1)+1</f>
        <v>5</v>
      </c>
      <c r="BD45" s="527"/>
      <c r="BE45" s="527"/>
      <c r="BF45" s="527"/>
      <c r="BG45" s="527"/>
      <c r="BH45" s="527"/>
      <c r="BI45" s="512">
        <v>0</v>
      </c>
    </row>
    <row customHeight="1" ht="22.049999999999997">
      <c r="A46" s="1379" t="s">
        <v>429</v>
      </c>
      <c r="B46" s="1379"/>
      <c r="C46" s="1379"/>
      <c r="D46" s="1379"/>
      <c r="E46" s="2274">
        <v>1</v>
      </c>
      <c r="F46" s="1379"/>
      <c r="G46" s="1379"/>
      <c r="H46" s="1379"/>
      <c r="I46" s="1379"/>
      <c r="J46" s="1379"/>
      <c r="K46" s="1379"/>
      <c r="L46" s="1380"/>
      <c r="M46" s="1381"/>
      <c r="N46" s="1381"/>
      <c r="O46" s="1381"/>
      <c r="P46" s="1425"/>
      <c r="Q46" s="889"/>
      <c r="R46" s="371"/>
      <c r="S46" s="1509">
        <f>INDEX(PT_DIFFERENTIATION_NUM_NTAR,MATCH(A46,PT_DIFFERENTIATION_NTAR_ID,0))</f>
        <v>0</v>
      </c>
      <c r="T46" s="314" t="s">
        <v>192</v>
      </c>
      <c r="U46" s="316"/>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6"/>
      <c r="BF46" s="516" t="str">
        <f>IF(T46="","",T46)</f>
        <v>Наименование тарифа</v>
      </c>
      <c r="BG46" s="516"/>
      <c r="BH46" s="516"/>
      <c r="BI46" s="1171">
        <v>21</v>
      </c>
    </row>
    <row customHeight="1" ht="22.049999999999997">
      <c r="A47" s="1379" t="s">
        <v>429</v>
      </c>
      <c r="B47" s="1379" t="s">
        <v>430</v>
      </c>
      <c r="C47" s="1379"/>
      <c r="D47" s="1379"/>
      <c r="E47" s="2275"/>
      <c r="F47" s="2274">
        <v>1</v>
      </c>
      <c r="G47" s="1379"/>
      <c r="H47" s="1379"/>
      <c r="I47" s="1379"/>
      <c r="J47" s="1379"/>
      <c r="K47" s="1379"/>
      <c r="L47" s="1380"/>
      <c r="M47" s="1381"/>
      <c r="N47" s="1381"/>
      <c r="O47" s="1381"/>
      <c r="P47" s="1426"/>
      <c r="Q47" s="1427"/>
      <c r="R47" s="369"/>
      <c r="S47" s="1509" t="str">
        <f>INDEX(PT_DIFFERENTIATION_NUM_TER,MATCH(B47,PT_DIFFERENTIATION_TER_ID,0))</f>
        <v>.</v>
      </c>
      <c r="T47" s="324" t="s">
        <v>550</v>
      </c>
      <c r="U47" s="316"/>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74" t="s">
        <v>551</v>
      </c>
      <c r="BE47" s="516"/>
      <c r="BF47" s="516" t="str">
        <f>IF(T47="","",T47)</f>
        <v>Территория действия тарифа</v>
      </c>
      <c r="BG47" s="516"/>
      <c r="BH47" s="516"/>
      <c r="BI47" s="1171">
        <v>21</v>
      </c>
    </row>
    <row customHeight="1" ht="35.699999999999996">
      <c r="A48" s="1379" t="s">
        <v>429</v>
      </c>
      <c r="B48" s="1379" t="s">
        <v>430</v>
      </c>
      <c r="C48" s="1379" t="s">
        <v>431</v>
      </c>
      <c r="D48" s="1379"/>
      <c r="E48" s="2275"/>
      <c r="F48" s="2275"/>
      <c r="G48" s="2274">
        <v>1</v>
      </c>
      <c r="H48" s="1379"/>
      <c r="I48" s="1379"/>
      <c r="J48" s="1379"/>
      <c r="K48" s="1379"/>
      <c r="L48" s="1380"/>
      <c r="M48" s="1381"/>
      <c r="N48" s="1381"/>
      <c r="O48" s="1381"/>
      <c r="P48" s="1428"/>
      <c r="Q48" s="1427"/>
      <c r="R48" s="369"/>
      <c r="S48" s="1509" t="str">
        <f>INDEX(PT_DIFFERENTIATION_NUM_CS,MATCH(C48,PT_DIFFERENTIATION_CS_ID,0))</f>
        <v>..</v>
      </c>
      <c r="T48" s="325" t="s">
        <v>669</v>
      </c>
      <c r="U48" s="316"/>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74" t="s">
        <v>670</v>
      </c>
      <c r="BE48" s="516"/>
      <c r="BF48" s="516" t="str">
        <f>IF(T48="","",T48)</f>
        <v>Наименование централизованной системы водоотведения</v>
      </c>
      <c r="BG48" s="516"/>
      <c r="BH48" s="516"/>
      <c r="BI48" s="1171">
        <v>34</v>
      </c>
    </row>
    <row s="1658" customFormat="1" customHeight="1" ht="0">
      <c r="A49" s="1359" t="s">
        <v>429</v>
      </c>
      <c r="B49" s="1359" t="s">
        <v>430</v>
      </c>
      <c r="C49" s="1359" t="s">
        <v>431</v>
      </c>
      <c r="D49" s="1359" t="s">
        <v>682</v>
      </c>
      <c r="E49" s="2275"/>
      <c r="F49" s="2275"/>
      <c r="G49" s="2275"/>
      <c r="H49" s="2274">
        <v>1</v>
      </c>
      <c r="I49" s="1359"/>
      <c r="J49" s="1359"/>
      <c r="K49" s="1359"/>
      <c r="L49" s="1362"/>
      <c r="M49" s="1331"/>
      <c r="N49" s="1331"/>
      <c r="O49" s="1331"/>
      <c r="P49" s="1513"/>
      <c r="Q49" s="1514"/>
      <c r="R49" s="373"/>
      <c r="S49" s="1058"/>
      <c r="T49" s="1515"/>
      <c r="U49" s="1400"/>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401" t="s">
        <v>555</v>
      </c>
      <c r="BE49" s="516"/>
      <c r="BF49" s="516" t="str">
        <f>IF(T49="","",T49)</f>
        <v/>
      </c>
      <c r="BG49" s="516"/>
      <c r="BH49" s="516"/>
      <c r="BI49" s="527">
        <v>0</v>
      </c>
    </row>
    <row s="1658" customFormat="1" customHeight="1" ht="0">
      <c r="A50" s="1359" t="s">
        <v>429</v>
      </c>
      <c r="B50" s="1359" t="s">
        <v>430</v>
      </c>
      <c r="C50" s="1359" t="s">
        <v>431</v>
      </c>
      <c r="D50" s="1359" t="s">
        <v>682</v>
      </c>
      <c r="E50" s="2275"/>
      <c r="F50" s="2275"/>
      <c r="G50" s="2275"/>
      <c r="H50" s="2275"/>
      <c r="I50" s="2272" t="str">
        <f>S49&amp;".1"</f>
        <v>.1</v>
      </c>
      <c r="J50" s="1359"/>
      <c r="K50" s="1359"/>
      <c r="L50" s="1362" t="s">
        <v>556</v>
      </c>
      <c r="M50" s="526"/>
      <c r="N50" s="526"/>
      <c r="O50" s="526"/>
      <c r="P50" s="2273">
        <v>1</v>
      </c>
      <c r="Q50" s="1497"/>
      <c r="R50" s="372"/>
      <c r="S50" s="1058"/>
      <c r="T50" s="1399"/>
      <c r="U50" s="1400"/>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401"/>
      <c r="BE50" s="516"/>
      <c r="BF50" s="516" t="str">
        <f>IF(T50="","",T50)</f>
        <v/>
      </c>
      <c r="BG50" s="516"/>
      <c r="BH50" s="516"/>
      <c r="BI50" s="527">
        <v>0</v>
      </c>
    </row>
    <row s="1658" customFormat="1" customHeight="1" ht="0">
      <c r="A51" s="1359" t="s">
        <v>429</v>
      </c>
      <c r="B51" s="1359" t="s">
        <v>430</v>
      </c>
      <c r="C51" s="1359" t="s">
        <v>431</v>
      </c>
      <c r="D51" s="1359" t="s">
        <v>682</v>
      </c>
      <c r="E51" s="2275"/>
      <c r="F51" s="2275"/>
      <c r="G51" s="2275"/>
      <c r="H51" s="2275"/>
      <c r="I51" s="2302"/>
      <c r="J51" s="2272" t="str">
        <f>S49&amp;".1"</f>
        <v>.1</v>
      </c>
      <c r="K51" s="1359"/>
      <c r="L51" s="1362"/>
      <c r="M51" s="526"/>
      <c r="N51" s="526"/>
      <c r="O51" s="526"/>
      <c r="P51" s="2273"/>
      <c r="Q51" s="2273">
        <v>1</v>
      </c>
      <c r="R51" s="373"/>
      <c r="S51" s="1058"/>
      <c r="T51" s="1415"/>
      <c r="U51" s="1400"/>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401"/>
      <c r="BE51" s="516"/>
      <c r="BF51" s="516" t="str">
        <f>IF(T51="","",T51)</f>
        <v/>
      </c>
      <c r="BG51" s="516"/>
      <c r="BH51" s="516"/>
      <c r="BI51" s="527">
        <v>0</v>
      </c>
    </row>
    <row customHeight="1" ht="11.549999999999999">
      <c r="A52" s="1379" t="s">
        <v>429</v>
      </c>
      <c r="B52" s="1379" t="s">
        <v>430</v>
      </c>
      <c r="C52" s="1379" t="s">
        <v>431</v>
      </c>
      <c r="D52" s="1379" t="s">
        <v>682</v>
      </c>
      <c r="E52" s="2275"/>
      <c r="F52" s="2275"/>
      <c r="G52" s="2275"/>
      <c r="H52" s="2275"/>
      <c r="I52" s="2302"/>
      <c r="J52" s="2302"/>
      <c r="K52" s="2272" t="str">
        <f>S48&amp;".1"</f>
        <v>...1</v>
      </c>
      <c r="L52" s="1380"/>
      <c r="P52" s="2273"/>
      <c r="Q52" s="2273"/>
      <c r="R52" s="373">
        <v>1</v>
      </c>
      <c r="S52" s="2357" t="str">
        <f>$K52</f>
        <v>...1</v>
      </c>
      <c r="T52" s="2376"/>
      <c r="U52" s="316"/>
      <c r="V52" s="767"/>
      <c r="W52" s="1273"/>
      <c r="X52" s="767"/>
      <c r="Y52" s="1273"/>
      <c r="Z52" s="1750"/>
      <c r="AA52" s="1485" t="s">
        <v>64</v>
      </c>
      <c r="AB52" s="1750"/>
      <c r="AC52" s="1485" t="s">
        <v>64</v>
      </c>
      <c r="AD52" s="2201" t="s">
        <v>64</v>
      </c>
      <c r="AE52" s="2342"/>
      <c r="AF52" s="2221">
        <v>1</v>
      </c>
      <c r="AG52" s="2379"/>
      <c r="AH52" s="2123" t="s">
        <v>64</v>
      </c>
      <c r="AI52" s="2342"/>
      <c r="AJ52" s="2221">
        <v>1</v>
      </c>
      <c r="AK52" s="2343" t="s">
        <v>28</v>
      </c>
      <c r="AL52" s="2123" t="s">
        <v>64</v>
      </c>
      <c r="AM52" s="2208"/>
      <c r="AN52" s="2221">
        <v>1</v>
      </c>
      <c r="AO52" s="2373"/>
      <c r="AP52" s="2374" t="s">
        <v>64</v>
      </c>
      <c r="AQ52" s="327"/>
      <c r="AR52" s="1502">
        <v>1</v>
      </c>
      <c r="AS52" s="1508" t="s">
        <v>28</v>
      </c>
      <c r="AT52" s="767"/>
      <c r="AU52" s="1273"/>
      <c r="AV52" s="767"/>
      <c r="AW52" s="1273"/>
      <c r="AX52" s="1750"/>
      <c r="AY52" s="1485" t="s">
        <v>64</v>
      </c>
      <c r="AZ52" s="1750"/>
      <c r="BA52" s="1485" t="s">
        <v>64</v>
      </c>
      <c r="BB52" s="1364"/>
      <c r="BC52" s="2269" t="s">
        <v>654</v>
      </c>
      <c r="BE52" s="516"/>
      <c r="BF52" s="516" t="str">
        <f>IF(T52="","",T52)</f>
        <v/>
      </c>
      <c r="BG52" s="516"/>
      <c r="BH52" s="516"/>
      <c r="BI52" s="1171">
        <v>11</v>
      </c>
    </row>
    <row customHeight="1" ht="11.549999999999999">
      <c r="A53" s="1379"/>
      <c r="B53" s="1379"/>
      <c r="C53" s="1379"/>
      <c r="D53" s="1379"/>
      <c r="E53" s="2275"/>
      <c r="F53" s="2275"/>
      <c r="G53" s="2275"/>
      <c r="H53" s="2275"/>
      <c r="I53" s="2302"/>
      <c r="J53" s="2302"/>
      <c r="K53" s="2272"/>
      <c r="L53" s="1380"/>
      <c r="P53" s="2273"/>
      <c r="Q53" s="2273"/>
      <c r="R53" s="373"/>
      <c r="S53" s="2358"/>
      <c r="T53" s="2377"/>
      <c r="U53" s="316"/>
      <c r="V53" s="1409"/>
      <c r="W53" s="1512"/>
      <c r="X53" s="1409"/>
      <c r="Y53" s="1512"/>
      <c r="Z53" s="1409"/>
      <c r="AA53" s="1409"/>
      <c r="AB53" s="1409"/>
      <c r="AC53" s="1409"/>
      <c r="AD53" s="2202"/>
      <c r="AE53" s="2342"/>
      <c r="AF53" s="2221"/>
      <c r="AG53" s="2379"/>
      <c r="AH53" s="2123"/>
      <c r="AI53" s="2342"/>
      <c r="AJ53" s="2221"/>
      <c r="AK53" s="2343"/>
      <c r="AL53" s="2123"/>
      <c r="AM53" s="2216"/>
      <c r="AN53" s="2221"/>
      <c r="AO53" s="2373"/>
      <c r="AP53" s="2375"/>
      <c r="AQ53" s="332"/>
      <c r="AR53" s="432"/>
      <c r="AS53" s="432" t="s">
        <v>655</v>
      </c>
      <c r="AT53" s="1409"/>
      <c r="AU53" s="1512"/>
      <c r="AV53" s="1409"/>
      <c r="AW53" s="1512"/>
      <c r="AX53" s="1409"/>
      <c r="AY53" s="1409"/>
      <c r="AZ53" s="1409"/>
      <c r="BA53" s="1409"/>
      <c r="BB53" s="1413"/>
      <c r="BC53" s="2270"/>
      <c r="BE53" s="516"/>
      <c r="BF53" s="516"/>
      <c r="BG53" s="516"/>
      <c r="BH53" s="516"/>
      <c r="BI53" s="1171">
        <v>11</v>
      </c>
    </row>
    <row customHeight="1" ht="11.549999999999999">
      <c r="A54" s="1379" t="s">
        <v>429</v>
      </c>
      <c r="B54" s="1379"/>
      <c r="C54" s="1379"/>
      <c r="D54" s="1379"/>
      <c r="E54" s="2275"/>
      <c r="F54" s="2275"/>
      <c r="G54" s="2275"/>
      <c r="H54" s="2275"/>
      <c r="I54" s="2302"/>
      <c r="J54" s="2302"/>
      <c r="K54" s="2272"/>
      <c r="L54" s="1380"/>
      <c r="P54" s="2273"/>
      <c r="Q54" s="2273"/>
      <c r="R54" s="373"/>
      <c r="S54" s="2358"/>
      <c r="T54" s="2377"/>
      <c r="U54" s="316"/>
      <c r="V54" s="1409"/>
      <c r="W54" s="1512"/>
      <c r="X54" s="1409"/>
      <c r="Y54" s="1512"/>
      <c r="Z54" s="1409"/>
      <c r="AA54" s="1409"/>
      <c r="AB54" s="1409"/>
      <c r="AC54" s="1409"/>
      <c r="AD54" s="2202"/>
      <c r="AE54" s="2342"/>
      <c r="AF54" s="2221"/>
      <c r="AG54" s="2379"/>
      <c r="AH54" s="2123"/>
      <c r="AI54" s="2342"/>
      <c r="AJ54" s="2221"/>
      <c r="AK54" s="2343"/>
      <c r="AL54" s="2123"/>
      <c r="AM54" s="332"/>
      <c r="AN54" s="1516"/>
      <c r="AO54" s="1516" t="s">
        <v>675</v>
      </c>
      <c r="AP54" s="432"/>
      <c r="AQ54" s="432"/>
      <c r="AR54" s="432"/>
      <c r="AS54" s="1409"/>
      <c r="AT54" s="1409"/>
      <c r="AU54" s="1512"/>
      <c r="AV54" s="1409"/>
      <c r="AW54" s="1512"/>
      <c r="AX54" s="1409"/>
      <c r="AY54" s="1409"/>
      <c r="AZ54" s="1409"/>
      <c r="BA54" s="1409"/>
      <c r="BB54" s="1413"/>
      <c r="BC54" s="2270"/>
      <c r="BE54" s="516"/>
      <c r="BF54" s="516"/>
      <c r="BG54" s="516"/>
      <c r="BH54" s="516"/>
      <c r="BI54" s="1171">
        <v>11</v>
      </c>
    </row>
    <row customHeight="1" ht="11.549999999999999">
      <c r="A55" s="1379" t="s">
        <v>429</v>
      </c>
      <c r="B55" s="1379"/>
      <c r="C55" s="1379"/>
      <c r="D55" s="1379"/>
      <c r="E55" s="2275"/>
      <c r="F55" s="2275"/>
      <c r="G55" s="2275"/>
      <c r="H55" s="2275"/>
      <c r="I55" s="2302"/>
      <c r="J55" s="2302"/>
      <c r="K55" s="2272"/>
      <c r="L55" s="1380"/>
      <c r="P55" s="2273"/>
      <c r="Q55" s="2273"/>
      <c r="R55" s="373"/>
      <c r="S55" s="2358"/>
      <c r="T55" s="2377"/>
      <c r="U55" s="316"/>
      <c r="V55" s="1409"/>
      <c r="W55" s="1512"/>
      <c r="X55" s="1409"/>
      <c r="Y55" s="1512"/>
      <c r="Z55" s="1409"/>
      <c r="AA55" s="1409"/>
      <c r="AB55" s="1409"/>
      <c r="AC55" s="1409"/>
      <c r="AD55" s="2202"/>
      <c r="AE55" s="2342"/>
      <c r="AF55" s="2221"/>
      <c r="AG55" s="2379"/>
      <c r="AH55" s="2123"/>
      <c r="AI55" s="310"/>
      <c r="AJ55" s="431"/>
      <c r="AK55" s="329" t="s">
        <v>676</v>
      </c>
      <c r="AL55" s="1409"/>
      <c r="AM55" s="1409"/>
      <c r="AN55" s="1409"/>
      <c r="AO55" s="1409"/>
      <c r="AP55" s="1409"/>
      <c r="AQ55" s="1409"/>
      <c r="AR55" s="1409"/>
      <c r="AS55" s="1409"/>
      <c r="AT55" s="1409"/>
      <c r="AU55" s="1512"/>
      <c r="AV55" s="1409"/>
      <c r="AW55" s="1512"/>
      <c r="AX55" s="1409"/>
      <c r="AY55" s="1409"/>
      <c r="AZ55" s="1409"/>
      <c r="BA55" s="1409"/>
      <c r="BB55" s="1413"/>
      <c r="BC55" s="2270"/>
      <c r="BE55" s="516"/>
      <c r="BF55" s="516"/>
      <c r="BG55" s="516"/>
      <c r="BH55" s="516"/>
      <c r="BI55" s="1171">
        <v>11</v>
      </c>
    </row>
    <row customHeight="1" ht="11.549999999999999">
      <c r="A56" s="1379" t="s">
        <v>429</v>
      </c>
      <c r="B56" s="1379" t="s">
        <v>430</v>
      </c>
      <c r="C56" s="1379" t="s">
        <v>431</v>
      </c>
      <c r="D56" s="1379" t="s">
        <v>682</v>
      </c>
      <c r="E56" s="2275"/>
      <c r="F56" s="2275"/>
      <c r="G56" s="2275"/>
      <c r="H56" s="2275"/>
      <c r="I56" s="2302"/>
      <c r="J56" s="2302"/>
      <c r="K56" s="2272"/>
      <c r="L56" s="1380"/>
      <c r="P56" s="2273"/>
      <c r="Q56" s="2273"/>
      <c r="R56" s="373"/>
      <c r="S56" s="2359"/>
      <c r="T56" s="2378"/>
      <c r="U56" s="316"/>
      <c r="V56" s="1409"/>
      <c r="W56" s="1410" t="str">
        <f>Z52&amp;"-"&amp;AB52</f>
        <v>-</v>
      </c>
      <c r="X56" s="1409"/>
      <c r="Y56" s="1410" t="str">
        <f>AB52&amp;"-"&amp;AD52</f>
        <v>-да</v>
      </c>
      <c r="Z56" s="1409"/>
      <c r="AA56" s="1409"/>
      <c r="AB56" s="1409"/>
      <c r="AC56" s="1409"/>
      <c r="AD56" s="2128"/>
      <c r="AE56" s="328"/>
      <c r="AF56" s="330"/>
      <c r="AG56" s="432" t="s">
        <v>658</v>
      </c>
      <c r="AH56" s="1409"/>
      <c r="AI56" s="1409"/>
      <c r="AJ56" s="1409"/>
      <c r="AK56" s="1409"/>
      <c r="AL56" s="1409"/>
      <c r="AM56" s="1409"/>
      <c r="AN56" s="1409"/>
      <c r="AO56" s="1409"/>
      <c r="AP56" s="1409"/>
      <c r="AQ56" s="1409"/>
      <c r="AR56" s="1409"/>
      <c r="AS56" s="1409"/>
      <c r="AT56" s="1409"/>
      <c r="AU56" s="1410" t="str">
        <f>AX52&amp;"-"&amp;AZ52</f>
        <v>-</v>
      </c>
      <c r="AV56" s="1409"/>
      <c r="AW56" s="1410" t="str">
        <f>AZ52&amp;"-"&amp;BB52</f>
        <v>-</v>
      </c>
      <c r="AX56" s="1409"/>
      <c r="AY56" s="1409"/>
      <c r="AZ56" s="1409"/>
      <c r="BA56" s="1409"/>
      <c r="BB56" s="1412" t="str">
        <f>BE52&amp;"-"&amp;BG52</f>
        <v>-</v>
      </c>
      <c r="BC56" s="2270"/>
      <c r="BE56" s="516"/>
      <c r="BF56" s="516" t="str">
        <f>IF(T56="","",T56)</f>
        <v/>
      </c>
      <c r="BG56" s="516"/>
      <c r="BH56" s="516"/>
      <c r="BI56" s="1171">
        <v>11</v>
      </c>
    </row>
    <row customHeight="1" ht="11.549999999999999">
      <c r="A57" s="1379" t="s">
        <v>429</v>
      </c>
      <c r="B57" s="1379" t="s">
        <v>430</v>
      </c>
      <c r="C57" s="1379" t="s">
        <v>431</v>
      </c>
      <c r="D57" s="1379" t="s">
        <v>682</v>
      </c>
      <c r="E57" s="2275"/>
      <c r="F57" s="2275"/>
      <c r="G57" s="2275"/>
      <c r="H57" s="2275"/>
      <c r="I57" s="2302"/>
      <c r="J57" s="2272"/>
      <c r="K57" s="1379"/>
      <c r="L57" s="1380"/>
      <c r="P57" s="2273"/>
      <c r="Q57" s="2273"/>
      <c r="R57" s="372"/>
      <c r="S57" s="1294"/>
      <c r="T57" s="303" t="s">
        <v>617</v>
      </c>
      <c r="U57" s="383"/>
      <c r="V57" s="383"/>
      <c r="W57" s="383"/>
      <c r="X57" s="383"/>
      <c r="Y57" s="383"/>
      <c r="Z57" s="383"/>
      <c r="AA57" s="383"/>
      <c r="AB57" s="383"/>
      <c r="AC57" s="340"/>
      <c r="AD57" s="1521"/>
      <c r="AE57" s="383"/>
      <c r="AF57" s="383"/>
      <c r="AG57" s="383"/>
      <c r="AH57" s="383"/>
      <c r="AI57" s="383"/>
      <c r="AJ57" s="383"/>
      <c r="AK57" s="383"/>
      <c r="AL57" s="383"/>
      <c r="AM57" s="383"/>
      <c r="AN57" s="383"/>
      <c r="AO57" s="383"/>
      <c r="AP57" s="383"/>
      <c r="AQ57" s="383"/>
      <c r="AR57" s="383"/>
      <c r="AS57" s="383"/>
      <c r="AT57" s="383"/>
      <c r="AU57" s="383"/>
      <c r="AV57" s="383"/>
      <c r="AW57" s="383"/>
      <c r="AX57" s="383"/>
      <c r="AY57" s="383"/>
      <c r="AZ57" s="383"/>
      <c r="BA57" s="383"/>
      <c r="BB57" s="340"/>
      <c r="BC57" s="2271"/>
      <c r="BE57" s="516"/>
      <c r="BF57" s="516" t="str">
        <f>IF(T57="","",T57)</f>
        <v>Добавить строку</v>
      </c>
      <c r="BG57" s="516"/>
      <c r="BH57" s="516"/>
      <c r="BI57" s="1171">
        <v>11</v>
      </c>
    </row>
    <row s="1658" customFormat="1" customHeight="1" ht="0">
      <c r="A58" s="1359" t="s">
        <v>429</v>
      </c>
      <c r="B58" s="1359" t="s">
        <v>430</v>
      </c>
      <c r="C58" s="1359" t="s">
        <v>431</v>
      </c>
      <c r="D58" s="1359" t="s">
        <v>682</v>
      </c>
      <c r="E58" s="2275"/>
      <c r="F58" s="2275"/>
      <c r="G58" s="2275"/>
      <c r="H58" s="2275"/>
      <c r="I58" s="2272"/>
      <c r="J58" s="1359"/>
      <c r="K58" s="1359"/>
      <c r="L58" s="1362"/>
      <c r="M58" s="526"/>
      <c r="N58" s="526"/>
      <c r="O58" s="526"/>
      <c r="P58" s="2273"/>
      <c r="Q58" s="1497"/>
      <c r="R58" s="372"/>
      <c r="S58" s="1402"/>
      <c r="T58" s="1403"/>
      <c r="U58" s="1404"/>
      <c r="V58" s="1404"/>
      <c r="W58" s="1404"/>
      <c r="X58" s="1404"/>
      <c r="Y58" s="1404"/>
      <c r="Z58" s="1404"/>
      <c r="AA58" s="1404"/>
      <c r="AB58" s="1404"/>
      <c r="AC58" s="1404"/>
      <c r="AD58" s="1404"/>
      <c r="AE58" s="1404"/>
      <c r="AF58" s="1404"/>
      <c r="AG58" s="1404"/>
      <c r="AH58" s="1404"/>
      <c r="AI58" s="1404"/>
      <c r="AJ58" s="1404"/>
      <c r="AK58" s="1404"/>
      <c r="AL58" s="1404"/>
      <c r="AM58" s="1404"/>
      <c r="AN58" s="1404"/>
      <c r="AO58" s="1404"/>
      <c r="AP58" s="1404"/>
      <c r="AQ58" s="1404"/>
      <c r="AR58" s="1404"/>
      <c r="AS58" s="1404"/>
      <c r="AT58" s="1404"/>
      <c r="AU58" s="1404"/>
      <c r="AV58" s="1404"/>
      <c r="AW58" s="1404"/>
      <c r="AX58" s="1404"/>
      <c r="AY58" s="1404"/>
      <c r="AZ58" s="1404"/>
      <c r="BA58" s="1404"/>
      <c r="BB58" s="1404"/>
      <c r="BC58" s="1405"/>
      <c r="BE58" s="516"/>
      <c r="BF58" s="516" t="str">
        <f>IF(T58="","",T58)</f>
        <v/>
      </c>
      <c r="BG58" s="516"/>
      <c r="BH58" s="516"/>
      <c r="BI58" s="527">
        <v>0</v>
      </c>
    </row>
    <row s="1658" customFormat="1" customHeight="1" ht="0">
      <c r="A59" s="1359" t="s">
        <v>429</v>
      </c>
      <c r="B59" s="1359" t="s">
        <v>430</v>
      </c>
      <c r="C59" s="1359" t="s">
        <v>431</v>
      </c>
      <c r="D59" s="1359" t="s">
        <v>682</v>
      </c>
      <c r="E59" s="2275"/>
      <c r="F59" s="2275"/>
      <c r="G59" s="2275"/>
      <c r="H59" s="2274"/>
      <c r="I59" s="1359"/>
      <c r="J59" s="1359"/>
      <c r="K59" s="1359"/>
      <c r="L59" s="1362"/>
      <c r="M59" s="1331"/>
      <c r="N59" s="1331"/>
      <c r="O59" s="534"/>
      <c r="P59" s="396"/>
      <c r="Q59" s="1360"/>
      <c r="R59" s="1417"/>
      <c r="S59" s="1402"/>
      <c r="T59" s="1403"/>
      <c r="U59" s="1404"/>
      <c r="V59" s="1404"/>
      <c r="W59" s="1404"/>
      <c r="X59" s="1404"/>
      <c r="Y59" s="1404"/>
      <c r="Z59" s="1404"/>
      <c r="AA59" s="1404"/>
      <c r="AB59" s="1404"/>
      <c r="AC59" s="1404"/>
      <c r="AD59" s="1404"/>
      <c r="AE59" s="1404"/>
      <c r="AF59" s="1404"/>
      <c r="AG59" s="1404"/>
      <c r="AH59" s="1404"/>
      <c r="AI59" s="1404"/>
      <c r="AJ59" s="1404"/>
      <c r="AK59" s="1404"/>
      <c r="AL59" s="1404"/>
      <c r="AM59" s="1404"/>
      <c r="AN59" s="1404"/>
      <c r="AO59" s="1404"/>
      <c r="AP59" s="1404"/>
      <c r="AQ59" s="1404"/>
      <c r="AR59" s="1404"/>
      <c r="AS59" s="1404"/>
      <c r="AT59" s="1404"/>
      <c r="AU59" s="1404"/>
      <c r="AV59" s="1404"/>
      <c r="AW59" s="1404"/>
      <c r="AX59" s="1404"/>
      <c r="AY59" s="1404"/>
      <c r="AZ59" s="1404"/>
      <c r="BA59" s="1404"/>
      <c r="BB59" s="1404"/>
      <c r="BC59" s="1405"/>
      <c r="BE59" s="516"/>
      <c r="BF59" s="516" t="str">
        <f>IF(T59="","",T59)</f>
        <v/>
      </c>
      <c r="BG59" s="516"/>
      <c r="BH59" s="516"/>
      <c r="BI59" s="527">
        <v>0</v>
      </c>
    </row>
    <row s="1658" customFormat="1" customHeight="1" ht="0">
      <c r="A60" s="1359" t="s">
        <v>429</v>
      </c>
      <c r="B60" s="1359" t="s">
        <v>430</v>
      </c>
      <c r="C60" s="1359" t="s">
        <v>431</v>
      </c>
      <c r="D60" s="1330"/>
      <c r="E60" s="2275"/>
      <c r="F60" s="2275"/>
      <c r="G60" s="2274"/>
      <c r="H60" s="1330"/>
      <c r="I60" s="1330"/>
      <c r="J60" s="1330"/>
      <c r="K60" s="1330"/>
      <c r="L60" s="1510"/>
      <c r="M60" s="1331"/>
      <c r="N60" s="1331"/>
      <c r="P60" s="1332"/>
      <c r="Q60" s="1333"/>
      <c r="R60" s="1332"/>
      <c r="S60" s="1338"/>
      <c r="T60" s="1341"/>
      <c r="U60" s="1340"/>
      <c r="V60" s="1340"/>
      <c r="W60" s="1340"/>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340"/>
      <c r="AS60" s="1340"/>
      <c r="AT60" s="1340"/>
      <c r="AU60" s="1340"/>
      <c r="AV60" s="1340"/>
      <c r="AW60" s="1340"/>
      <c r="AX60" s="1340"/>
      <c r="AY60" s="1340"/>
      <c r="AZ60" s="1340"/>
      <c r="BA60" s="1340"/>
      <c r="BB60" s="1340"/>
      <c r="BC60" s="1340"/>
      <c r="BE60" s="805"/>
      <c r="BF60" s="805" t="str">
        <f>IF(T60="","",T60)</f>
        <v/>
      </c>
      <c r="BG60" s="805"/>
      <c r="BH60" s="805"/>
      <c r="BI60" s="534">
        <v>0</v>
      </c>
    </row>
    <row s="1658" customFormat="1" customHeight="1" ht="0">
      <c r="A61" s="1359" t="s">
        <v>429</v>
      </c>
      <c r="B61" s="1359" t="s">
        <v>430</v>
      </c>
      <c r="C61" s="1330"/>
      <c r="D61" s="1330"/>
      <c r="E61" s="2275"/>
      <c r="F61" s="2274"/>
      <c r="G61" s="1330"/>
      <c r="H61" s="1330"/>
      <c r="I61" s="1330"/>
      <c r="J61" s="1330"/>
      <c r="K61" s="1330"/>
      <c r="L61" s="1510"/>
      <c r="M61" s="1337"/>
      <c r="N61" s="1337"/>
      <c r="P61" s="1332"/>
      <c r="Q61" s="1333"/>
      <c r="R61" s="1332"/>
      <c r="S61" s="1338"/>
      <c r="T61" s="1341" t="s">
        <v>269</v>
      </c>
      <c r="U61" s="1340"/>
      <c r="V61" s="1340"/>
      <c r="W61" s="1340"/>
      <c r="X61" s="1340"/>
      <c r="Y61" s="1340"/>
      <c r="Z61" s="1340"/>
      <c r="AA61" s="1340"/>
      <c r="AB61" s="1340"/>
      <c r="AC61" s="1340"/>
      <c r="AD61" s="1340"/>
      <c r="AE61" s="1340"/>
      <c r="AF61" s="1340"/>
      <c r="AG61" s="1340"/>
      <c r="AH61" s="1340"/>
      <c r="AI61" s="1340"/>
      <c r="AJ61" s="1340"/>
      <c r="AK61" s="1340"/>
      <c r="AL61" s="1340"/>
      <c r="AM61" s="1340"/>
      <c r="AN61" s="1340"/>
      <c r="AO61" s="1340"/>
      <c r="AP61" s="1340"/>
      <c r="AQ61" s="1340"/>
      <c r="AR61" s="1340"/>
      <c r="AS61" s="1340"/>
      <c r="AT61" s="1340"/>
      <c r="AU61" s="1340"/>
      <c r="AV61" s="1340"/>
      <c r="AW61" s="1340"/>
      <c r="AX61" s="1340"/>
      <c r="AY61" s="1340"/>
      <c r="AZ61" s="1340"/>
      <c r="BA61" s="1340"/>
      <c r="BB61" s="1340"/>
      <c r="BC61" s="1340"/>
      <c r="BE61" s="805"/>
      <c r="BF61" s="805" t="str">
        <f>IF(T61="","",T61)</f>
        <v>Добавить централизованную систему для дифференциации</v>
      </c>
      <c r="BG61" s="805"/>
      <c r="BH61" s="805"/>
      <c r="BI61" s="534">
        <v>0</v>
      </c>
    </row>
    <row s="1658" customFormat="1" customHeight="1" ht="0">
      <c r="A62" s="1359" t="s">
        <v>429</v>
      </c>
      <c r="B62" s="1359"/>
      <c r="C62" s="1359"/>
      <c r="D62" s="1359"/>
      <c r="E62" s="2274"/>
      <c r="F62" s="1359"/>
      <c r="G62" s="1359"/>
      <c r="H62" s="1359"/>
      <c r="I62" s="1359"/>
      <c r="J62" s="1359"/>
      <c r="K62" s="1359"/>
      <c r="L62" s="1362"/>
      <c r="M62" s="1337"/>
      <c r="N62" s="1337"/>
      <c r="O62" s="534"/>
      <c r="P62" s="396"/>
      <c r="Q62" s="1360"/>
      <c r="R62" s="396"/>
      <c r="S62" s="1338"/>
      <c r="T62" s="1341" t="s">
        <v>330</v>
      </c>
      <c r="U62" s="1340"/>
      <c r="V62" s="1340"/>
      <c r="W62" s="1340"/>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340"/>
      <c r="AS62" s="1340"/>
      <c r="AT62" s="1340"/>
      <c r="AU62" s="1340"/>
      <c r="AV62" s="1340"/>
      <c r="AW62" s="1340"/>
      <c r="AX62" s="1340"/>
      <c r="AY62" s="1340"/>
      <c r="AZ62" s="1340"/>
      <c r="BA62" s="1340"/>
      <c r="BB62" s="1340"/>
      <c r="BC62" s="1340"/>
      <c r="BE62" s="516"/>
      <c r="BF62" s="516" t="str">
        <f>IF(T62="","",T62)</f>
        <v>Добавить территорию для дифференциации</v>
      </c>
      <c r="BG62" s="516"/>
      <c r="BH62" s="516"/>
      <c r="BI62" s="527">
        <v>0</v>
      </c>
    </row>
    <row s="1658" customFormat="1" customHeight="1" ht="0">
      <c r="A63" s="1330"/>
      <c r="B63" s="1330"/>
      <c r="C63" s="1330"/>
      <c r="D63" s="1330"/>
      <c r="E63" s="1359"/>
      <c r="F63" s="1330"/>
      <c r="G63" s="1330"/>
      <c r="H63" s="1330"/>
      <c r="I63" s="1330"/>
      <c r="J63" s="1330"/>
      <c r="K63" s="1330"/>
      <c r="L63" s="1510"/>
      <c r="M63" s="1337"/>
      <c r="N63" s="1337"/>
      <c r="P63" s="1332"/>
      <c r="Q63" s="1333"/>
      <c r="R63" s="1332"/>
      <c r="S63" s="1338"/>
      <c r="T63" s="1341" t="s">
        <v>356</v>
      </c>
      <c r="U63" s="1340"/>
      <c r="V63" s="1340"/>
      <c r="W63" s="1340"/>
      <c r="X63" s="1340"/>
      <c r="Y63" s="1340"/>
      <c r="Z63" s="1340"/>
      <c r="AA63" s="1340"/>
      <c r="AB63" s="1340"/>
      <c r="AC63" s="1340"/>
      <c r="AD63" s="1340"/>
      <c r="AE63" s="1340"/>
      <c r="AF63" s="1340"/>
      <c r="AG63" s="1340"/>
      <c r="AH63" s="1340"/>
      <c r="AI63" s="1340"/>
      <c r="AJ63" s="1340"/>
      <c r="AK63" s="1340"/>
      <c r="AL63" s="1340"/>
      <c r="AM63" s="1340"/>
      <c r="AN63" s="1340"/>
      <c r="AO63" s="1340"/>
      <c r="AP63" s="1340"/>
      <c r="AQ63" s="1340"/>
      <c r="AR63" s="1340"/>
      <c r="AS63" s="1340"/>
      <c r="AT63" s="1340"/>
      <c r="AU63" s="1340"/>
      <c r="AV63" s="1340"/>
      <c r="AW63" s="1340"/>
      <c r="AX63" s="1340"/>
      <c r="AY63" s="1340"/>
      <c r="AZ63" s="1340"/>
      <c r="BA63" s="1340"/>
      <c r="BB63" s="1340"/>
      <c r="BC63" s="1340"/>
      <c r="BE63" s="805"/>
      <c r="BF63" s="805" t="str">
        <f>IF(T63="","",T63)</f>
        <v>Добавить наименование тарифа</v>
      </c>
      <c r="BG63" s="805"/>
      <c r="BH63" s="805"/>
      <c r="BI63" s="534">
        <v>0</v>
      </c>
    </row>
    <row customHeight="1" ht="11.549999999999999">
      <c r="M64" s="1176"/>
      <c r="N64" s="1176"/>
      <c r="O64" s="553"/>
      <c r="P64" s="1176"/>
      <c r="Q64" s="1176"/>
      <c r="R64" s="1171"/>
      <c r="S64" s="1171"/>
      <c r="BD64" s="1171"/>
      <c r="BE64" s="1171"/>
      <c r="BF64" s="1171"/>
      <c r="BG64" s="1171"/>
      <c r="BH64" s="1171"/>
      <c r="BI64" s="1171">
        <v>11</v>
      </c>
    </row>
    <row customHeight="1" ht="14.699999999999998">
      <c r="O65" s="553"/>
      <c r="S65" s="1269"/>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71">
        <v>14</v>
      </c>
    </row>
    <row customHeight="1" ht="14.699999999999998">
      <c r="O66" s="553"/>
      <c r="T66" s="1496"/>
      <c r="U66" s="1496"/>
      <c r="V66" s="1496"/>
      <c r="W66" s="1496"/>
      <c r="X66" s="1496"/>
      <c r="Y66" s="1496"/>
      <c r="Z66" s="1496"/>
      <c r="AA66" s="1496"/>
      <c r="AB66" s="1496"/>
      <c r="AC66" s="1496"/>
      <c r="AD66" s="1496"/>
      <c r="AE66" s="1496"/>
      <c r="AF66" s="1496"/>
      <c r="AG66" s="1496"/>
      <c r="AH66" s="1496"/>
      <c r="AI66" s="1496"/>
      <c r="AJ66" s="1496"/>
      <c r="AK66" s="1496"/>
      <c r="AL66" s="1496"/>
      <c r="AM66" s="1496"/>
      <c r="AN66" s="1496"/>
      <c r="AO66" s="1496"/>
      <c r="AP66" s="1496"/>
      <c r="AQ66" s="1496"/>
      <c r="AR66" s="1496"/>
      <c r="AS66" s="1496"/>
      <c r="AT66" s="1496"/>
      <c r="AU66" s="1496"/>
      <c r="AV66" s="1496"/>
      <c r="AW66" s="1496"/>
      <c r="AX66" s="1496"/>
      <c r="AY66" s="1496"/>
      <c r="AZ66" s="1496"/>
      <c r="BA66" s="1496"/>
      <c r="BB66" s="1496"/>
      <c r="BC66" s="1496"/>
      <c r="BI66" s="1171">
        <v>14</v>
      </c>
    </row>
    <row customHeight="1" ht="14.699999999999998">
      <c r="O67" s="553"/>
      <c r="S67" s="1269"/>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71">
        <v>14</v>
      </c>
    </row>
    <row customHeight="1" ht="14.699999999999998">
      <c r="O68" s="553"/>
      <c r="BI68" s="1171">
        <v>14</v>
      </c>
    </row>
    <row customHeight="1" ht="14.25" hidden="1">
      <c r="A69" s="1176" t="s">
        <v>85</v>
      </c>
      <c r="B69" s="1176">
        <v>0</v>
      </c>
      <c r="C69" s="1176">
        <v>0</v>
      </c>
      <c r="D69" s="1176">
        <v>0</v>
      </c>
      <c r="E69" s="1176">
        <v>0</v>
      </c>
      <c r="F69" s="1176">
        <v>0</v>
      </c>
      <c r="G69" s="1176">
        <v>0</v>
      </c>
      <c r="H69" s="1176">
        <v>0</v>
      </c>
      <c r="I69" s="1176">
        <v>0</v>
      </c>
      <c r="J69" s="1176">
        <v>0</v>
      </c>
      <c r="K69" s="1176">
        <v>0</v>
      </c>
      <c r="L69" s="1494">
        <v>0</v>
      </c>
      <c r="M69" s="1378">
        <v>0</v>
      </c>
      <c r="N69" s="1378">
        <v>0</v>
      </c>
      <c r="O69" s="1378">
        <v>0</v>
      </c>
      <c r="P69" s="1378">
        <v>0</v>
      </c>
      <c r="Q69" s="1387">
        <v>0</v>
      </c>
      <c r="R69" s="360">
        <v>3</v>
      </c>
      <c r="S69" s="597">
        <v>12</v>
      </c>
      <c r="T69" s="1171">
        <v>31</v>
      </c>
      <c r="U69" s="1171">
        <v>0</v>
      </c>
      <c r="V69" s="1171">
        <v>0</v>
      </c>
      <c r="W69" s="1171">
        <v>0</v>
      </c>
      <c r="X69" s="1171">
        <v>0</v>
      </c>
      <c r="Y69" s="1171">
        <v>0</v>
      </c>
      <c r="Z69" s="1171">
        <v>0</v>
      </c>
      <c r="AA69" s="1171">
        <v>0</v>
      </c>
      <c r="AB69" s="1171">
        <v>0</v>
      </c>
      <c r="AC69" s="1171">
        <v>0</v>
      </c>
      <c r="AD69" s="1171">
        <v>3</v>
      </c>
      <c r="AE69" s="1171">
        <v>3</v>
      </c>
      <c r="AF69" s="1171">
        <v>3</v>
      </c>
      <c r="AG69" s="1171">
        <v>24</v>
      </c>
      <c r="AH69" s="1171">
        <v>3</v>
      </c>
      <c r="AI69" s="1171">
        <v>3</v>
      </c>
      <c r="AJ69" s="1171">
        <v>3</v>
      </c>
      <c r="AK69" s="1171">
        <v>24</v>
      </c>
      <c r="AL69" s="1171">
        <v>3</v>
      </c>
      <c r="AM69" s="1171">
        <v>3</v>
      </c>
      <c r="AN69" s="1171">
        <v>3</v>
      </c>
      <c r="AO69" s="1171">
        <v>18</v>
      </c>
      <c r="AP69" s="1171">
        <v>3</v>
      </c>
      <c r="AQ69" s="1171">
        <v>3</v>
      </c>
      <c r="AR69" s="1171">
        <v>3</v>
      </c>
      <c r="AS69" s="1171">
        <v>18</v>
      </c>
      <c r="AT69" s="1171">
        <v>21</v>
      </c>
      <c r="AU69" s="1171">
        <v>21</v>
      </c>
      <c r="AV69" s="1171">
        <v>21</v>
      </c>
      <c r="AW69" s="1171">
        <v>21</v>
      </c>
      <c r="AX69" s="1171">
        <v>11</v>
      </c>
      <c r="AY69" s="1171">
        <v>3</v>
      </c>
      <c r="AZ69" s="1171">
        <v>11</v>
      </c>
      <c r="BA69" s="1171">
        <v>0</v>
      </c>
      <c r="BB69" s="1171">
        <v>4</v>
      </c>
      <c r="BC69" s="1171">
        <v>115</v>
      </c>
      <c r="BD69" s="527">
        <v>10</v>
      </c>
      <c r="BE69" s="527">
        <v>10</v>
      </c>
      <c r="BF69" s="527">
        <v>10</v>
      </c>
      <c r="BG69" s="527">
        <v>10</v>
      </c>
      <c r="BH69" s="527">
        <v>10</v>
      </c>
      <c r="BI69" s="117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47B3A-DA02-EC9E-9B19-6B506009D755}" mc:Ignorable="x14ac xr xr2 xr3">
  <sheetPr>
    <tabColor rgb="FFCCCCFF"/>
    <pageSetUpPr fitToPage="1"/>
  </sheetPr>
  <dimension ref="A1:AC74"/>
  <sheetViews>
    <sheetView showGridLines="0" zoomScale="90" workbookViewId="0">
      <pane xSplit="6" ySplit="11" topLeftCell="G39" activePane="bottomRight" state="frozen"/>
      <selection pane="bottomLeft" activeCell="A12" sqref="A12"/>
      <selection pane="topRight" activeCell="G1" sqref="G1"/>
      <selection pane="bottomRight" activeCell="H68" sqref="H68"/>
    </sheetView>
  </sheetViews>
  <sheetFormatPr defaultColWidth="9.140625" customHeight="1" defaultRowHeight="14.25"/>
  <cols>
    <col min="1" max="1" style="1651" width="8.00390625" hidden="1" customWidth="1"/>
    <col min="2" max="2" style="1382" width="6.00390625" hidden="1" customWidth="1"/>
    <col min="3" max="3" style="1651" width="3.00390625" customWidth="1"/>
    <col min="4" max="4" style="1858" width="3.00390625" customWidth="1"/>
    <col min="5" max="5" style="1651" width="6.00390625" customWidth="1"/>
    <col min="6" max="6" style="1651" width="2.7109375" hidden="1" customWidth="1"/>
    <col min="7" max="7" style="1651" width="46.7109375" customWidth="1"/>
    <col min="8" max="8" style="1651" width="42.00390625" customWidth="1"/>
    <col min="9" max="9" style="1651" width="14.00390625" customWidth="1"/>
    <col min="10" max="10" style="1640" width="3.00390625" customWidth="1"/>
    <col min="11" max="13" style="1640" width="9.140625" hidden="1"/>
    <col min="14" max="14" style="1640" width="25.7109375" hidden="1" customWidth="1"/>
    <col min="15" max="15" style="1640" width="14.421875" hidden="1" customWidth="1"/>
    <col min="16" max="19" style="241" width="9.140625" hidden="1"/>
    <col min="20" max="27" style="1651" width="9.140625" hidden="1"/>
    <col min="28" max="28" style="1651" width="8.00390625" customWidth="1"/>
    <col min="29" max="29" style="1651" width="9.140625" hidden="1"/>
  </cols>
  <sheetData>
    <row s="1658" customFormat="1" customHeight="1" ht="5.25" hidden="1">
      <c r="A1" s="512"/>
      <c r="B1" s="527"/>
      <c r="C1" s="527"/>
      <c r="D1" s="237"/>
      <c r="F1" s="527"/>
      <c r="G1" s="263" t="s">
        <v>86</v>
      </c>
      <c r="H1" s="510" t="s">
        <v>87</v>
      </c>
      <c r="I1" s="243" t="s">
        <v>88</v>
      </c>
      <c r="J1" s="263" t="s">
        <v>86</v>
      </c>
      <c r="K1" s="263"/>
      <c r="L1" s="263"/>
      <c r="M1" s="263"/>
      <c r="N1" s="264"/>
      <c r="O1" s="263"/>
      <c r="P1" s="263"/>
      <c r="Q1" s="263"/>
      <c r="R1" s="263"/>
      <c r="S1" s="263"/>
      <c r="T1" s="243"/>
      <c r="U1" s="243"/>
      <c r="V1" s="243"/>
      <c r="W1" s="243"/>
      <c r="X1" s="243"/>
      <c r="Y1" s="243"/>
      <c r="Z1" s="243"/>
      <c r="AA1" s="243"/>
      <c r="AB1" s="243"/>
      <c r="AC1" s="168" t="s">
        <v>14</v>
      </c>
    </row>
    <row s="1428" customFormat="1" customHeight="1" ht="11.25">
      <c r="A2" s="847"/>
      <c r="B2" s="244"/>
      <c r="C2" s="244"/>
      <c r="D2" s="245"/>
      <c r="E2" s="244"/>
      <c r="F2" s="244"/>
      <c r="G2" s="244"/>
      <c r="H2" s="244"/>
      <c r="I2" s="244"/>
      <c r="J2" s="263"/>
      <c r="K2" s="263"/>
      <c r="L2" s="263"/>
      <c r="M2" s="263"/>
      <c r="N2" s="264"/>
      <c r="O2" s="263"/>
      <c r="P2" s="246"/>
      <c r="Q2" s="246"/>
      <c r="R2" s="246"/>
      <c r="S2" s="246"/>
      <c r="T2" s="245"/>
      <c r="U2" s="245"/>
      <c r="V2" s="245"/>
      <c r="W2" s="245"/>
      <c r="X2" s="245"/>
      <c r="Y2" s="245"/>
      <c r="Z2" s="245"/>
      <c r="AA2" s="245"/>
      <c r="AB2" s="245"/>
      <c r="AC2" s="247">
        <v>11</v>
      </c>
    </row>
    <row s="1835" customFormat="1" customHeight="1" ht="3">
      <c r="A3" s="774"/>
      <c r="B3" s="433"/>
      <c r="C3" s="774"/>
      <c r="D3" s="180"/>
      <c r="E3" s="119"/>
      <c r="F3" s="525"/>
      <c r="G3" s="119"/>
      <c r="H3" s="119"/>
      <c r="I3" s="182"/>
      <c r="J3" s="263"/>
      <c r="K3" s="171"/>
      <c r="L3" s="171"/>
      <c r="M3" s="171"/>
      <c r="N3" s="242"/>
      <c r="O3" s="171"/>
      <c r="P3" s="241"/>
      <c r="Q3" s="241"/>
      <c r="R3" s="241"/>
      <c r="S3" s="241"/>
      <c r="AC3" s="132">
        <v>3</v>
      </c>
    </row>
    <row s="1835" customFormat="1" customHeight="1" ht="27.299999999999997">
      <c r="A4" s="774"/>
      <c r="B4" s="433"/>
      <c r="C4" s="774"/>
      <c r="D4" s="180"/>
      <c r="E4" s="2116" t="str">
        <f>NameTemplatesInListMO</f>
        <v>Перечень муниципальных районов и муниципальных образований (территорий действия тарифа)</v>
      </c>
      <c r="F4" s="2116"/>
      <c r="G4" s="2116"/>
      <c r="H4" s="2116"/>
      <c r="I4" s="2116"/>
      <c r="J4" s="263"/>
      <c r="K4" s="171"/>
      <c r="L4" s="171"/>
      <c r="M4" s="171"/>
      <c r="N4" s="242"/>
      <c r="O4" s="171"/>
      <c r="P4" s="241"/>
      <c r="Q4" s="241"/>
      <c r="R4" s="241"/>
      <c r="S4" s="241"/>
      <c r="AC4" s="132">
        <v>26</v>
      </c>
    </row>
    <row s="1835" customFormat="1" customHeight="1" ht="3">
      <c r="A5" s="774"/>
      <c r="B5" s="433"/>
      <c r="C5" s="774"/>
      <c r="D5" s="180"/>
      <c r="E5" s="119"/>
      <c r="F5" s="525"/>
      <c r="G5" s="183"/>
      <c r="H5" s="183"/>
      <c r="I5" s="184"/>
      <c r="J5" s="171"/>
      <c r="K5" s="171"/>
      <c r="L5" s="171"/>
      <c r="M5" s="171"/>
      <c r="N5" s="242"/>
      <c r="O5" s="171"/>
      <c r="P5" s="241"/>
      <c r="Q5" s="241"/>
      <c r="R5" s="241"/>
      <c r="S5" s="241"/>
      <c r="AC5" s="132">
        <v>3</v>
      </c>
    </row>
    <row s="1835" customFormat="1" customHeight="1" ht="20.25" hidden="1">
      <c r="A6" s="853"/>
      <c r="B6" s="849"/>
      <c r="C6" s="185"/>
      <c r="D6" s="180"/>
      <c r="E6" s="795"/>
      <c r="F6" s="795"/>
      <c r="G6" s="183"/>
      <c r="H6" s="186"/>
      <c r="I6" s="186"/>
      <c r="J6" s="171"/>
      <c r="K6" s="171"/>
      <c r="L6" s="171"/>
      <c r="M6" s="171"/>
      <c r="N6" s="242"/>
      <c r="O6" s="171"/>
      <c r="P6" s="241"/>
      <c r="Q6" s="241"/>
      <c r="R6" s="241"/>
      <c r="S6" s="241"/>
      <c r="AC6" s="132">
        <v>0</v>
      </c>
    </row>
    <row customHeight="1" ht="25.5" hidden="1">
      <c r="AC7" s="99">
        <v>0</v>
      </c>
    </row>
    <row s="1835" customFormat="1" customHeight="1" ht="14.699999999999998">
      <c r="A8" s="774"/>
      <c r="B8" s="433"/>
      <c r="C8" s="774"/>
      <c r="D8" s="180"/>
      <c r="E8" s="2117" t="s">
        <v>89</v>
      </c>
      <c r="F8" s="2118"/>
      <c r="G8" s="2119"/>
      <c r="H8" s="2120" t="s">
        <v>90</v>
      </c>
      <c r="I8" s="2120"/>
      <c r="J8" s="171"/>
      <c r="K8" s="171"/>
      <c r="L8" s="171"/>
      <c r="M8" s="171"/>
      <c r="N8" s="242"/>
      <c r="O8" s="171"/>
      <c r="P8" s="241"/>
      <c r="Q8" s="241"/>
      <c r="R8" s="241"/>
      <c r="S8" s="241"/>
      <c r="AC8" s="132">
        <v>14</v>
      </c>
    </row>
    <row s="1835" customFormat="1" customHeight="1" ht="21">
      <c r="A9" s="774"/>
      <c r="B9" s="433"/>
      <c r="C9" s="774"/>
      <c r="D9" s="180"/>
      <c r="E9" s="793" t="s">
        <v>91</v>
      </c>
      <c r="F9" s="793"/>
      <c r="G9" s="188" t="s">
        <v>92</v>
      </c>
      <c r="H9" s="188" t="s">
        <v>92</v>
      </c>
      <c r="I9" s="188" t="s">
        <v>88</v>
      </c>
      <c r="J9" s="171"/>
      <c r="K9" s="171"/>
      <c r="L9" s="171"/>
      <c r="M9" s="171"/>
      <c r="N9" s="242"/>
      <c r="O9" s="171"/>
      <c r="P9" s="241"/>
      <c r="Q9" s="241"/>
      <c r="R9" s="241"/>
      <c r="S9" s="241"/>
      <c r="AC9" s="132">
        <v>20</v>
      </c>
    </row>
    <row customHeight="1" ht="11.549999999999999">
      <c r="D10" s="192"/>
      <c r="E10" s="794" t="s">
        <v>93</v>
      </c>
      <c r="F10" s="794"/>
      <c r="G10" s="239" t="s">
        <v>94</v>
      </c>
      <c r="H10" s="239" t="s">
        <v>95</v>
      </c>
      <c r="I10" s="239" t="s">
        <v>96</v>
      </c>
      <c r="J10" s="202"/>
      <c r="K10" s="202"/>
      <c r="L10" s="202"/>
      <c r="M10" s="202"/>
      <c r="N10" s="187"/>
      <c r="O10" s="202"/>
      <c r="P10" s="240"/>
      <c r="Q10" s="240"/>
      <c r="R10" s="240"/>
      <c r="S10" s="240"/>
      <c r="AC10" s="99">
        <v>11</v>
      </c>
    </row>
    <row s="1835" customFormat="1" customHeight="1" ht="1.05">
      <c r="A11" s="774"/>
      <c r="B11" s="433"/>
      <c r="C11" s="774"/>
      <c r="D11" s="180"/>
      <c r="E11" s="806"/>
      <c r="F11" s="806"/>
      <c r="G11" s="189"/>
      <c r="H11" s="189"/>
      <c r="I11" s="191"/>
      <c r="J11" s="265" t="s">
        <v>97</v>
      </c>
      <c r="K11" s="171"/>
      <c r="L11" s="171"/>
      <c r="M11" s="171" t="s">
        <v>98</v>
      </c>
      <c r="N11" s="242" t="s">
        <v>99</v>
      </c>
      <c r="O11" s="171" t="s">
        <v>100</v>
      </c>
      <c r="P11" s="241"/>
      <c r="Q11" s="241"/>
      <c r="R11" s="241"/>
      <c r="S11" s="241"/>
      <c r="AC11" s="132">
        <v>1</v>
      </c>
    </row>
    <row s="1835" customFormat="1" customHeight="1" ht="15">
      <c r="A12" s="2115">
        <v>1</v>
      </c>
      <c r="B12" s="433"/>
      <c r="C12" s="774"/>
      <c r="D12" s="798"/>
      <c r="E12" s="235">
        <f>A12</f>
        <v>1</v>
      </c>
      <c r="F12" s="818" t="s">
        <v>101</v>
      </c>
      <c r="G12" s="556" t="str">
        <f>"Территория "&amp;E12</f>
        <v>Территория 1</v>
      </c>
      <c r="H12" s="808"/>
      <c r="I12" s="808"/>
      <c r="J12" s="805"/>
      <c r="K12" s="516"/>
      <c r="L12" s="516"/>
      <c r="M12" s="516"/>
      <c r="N12" s="242"/>
      <c r="O12" s="516"/>
      <c r="P12" s="241"/>
      <c r="Q12" s="241"/>
      <c r="R12" s="241"/>
      <c r="S12" s="241"/>
      <c r="AC12" s="523">
        <v>14</v>
      </c>
    </row>
    <row s="1866" customFormat="1" customHeight="1" ht="15.75">
      <c r="A13" s="2115"/>
      <c r="B13" s="433">
        <v>1</v>
      </c>
      <c r="C13" s="433"/>
      <c r="D13" s="816"/>
      <c r="E13" s="796" t="str">
        <f>A12&amp;"."&amp;B13</f>
        <v>1.1</v>
      </c>
      <c r="F13" s="811" t="s">
        <v>102</v>
      </c>
      <c r="G13" s="809" t="s">
        <v>103</v>
      </c>
      <c r="H13" s="809" t="s">
        <v>104</v>
      </c>
      <c r="I13" s="807" t="s">
        <v>105</v>
      </c>
      <c r="J13" s="516">
        <f>MERGEVALUE(G13)</f>
      </c>
      <c r="K13" s="527"/>
      <c r="L13" s="527"/>
      <c r="M13" s="516" t="str">
        <f t="array" ref="M13:M13">IF(ISERROR(MATCH(MID(N13,1,250),MID(note_ter,1,250),0)),"n","y")</f>
        <v>n</v>
      </c>
      <c r="N13" s="527"/>
      <c r="O13" s="516" t="str">
        <f>H13&amp;"("&amp;I13&amp;")"</f>
        <v>Горноключевское городское поселение(05612154)</v>
      </c>
      <c r="P13" s="433"/>
      <c r="Q13" s="433"/>
      <c r="R13" s="436"/>
      <c r="S13" s="433"/>
      <c r="T13" s="433"/>
      <c r="U13" s="433"/>
      <c r="V13" s="438"/>
      <c r="W13" s="438"/>
      <c r="X13" s="435"/>
      <c r="Y13" s="435"/>
      <c r="Z13" s="435"/>
      <c r="AA13" s="435"/>
      <c r="AB13" s="435"/>
      <c r="AC13" s="439">
        <v>15</v>
      </c>
    </row>
    <row s="1866" customFormat="1" customHeight="1" ht="15.75">
      <c r="A14" s="2115"/>
      <c r="B14" s="433"/>
      <c r="C14" s="428"/>
      <c r="D14" s="817"/>
      <c r="E14" s="437"/>
      <c r="F14" s="193"/>
      <c r="G14" s="431" t="s">
        <v>106</v>
      </c>
      <c r="H14" s="203"/>
      <c r="I14" s="440"/>
      <c r="J14" s="527"/>
      <c r="K14" s="527"/>
      <c r="L14" s="527"/>
      <c r="M14" s="527"/>
      <c r="N14" s="516"/>
      <c r="O14" s="527"/>
      <c r="P14" s="433"/>
      <c r="Q14" s="433"/>
      <c r="R14" s="436"/>
      <c r="S14" s="433"/>
      <c r="T14" s="433"/>
      <c r="U14" s="433"/>
      <c r="V14" s="438"/>
      <c r="W14" s="438"/>
      <c r="X14" s="435"/>
      <c r="Y14" s="435"/>
      <c r="Z14" s="435"/>
      <c r="AA14" s="435"/>
      <c r="AB14" s="435"/>
      <c r="AC14" s="439">
        <v>15</v>
      </c>
    </row>
    <row customHeight="1" ht="15">
      <c r="A15" s="2233" t="s">
        <v>107</v>
      </c>
      <c r="B15" s="1176"/>
      <c r="C15" s="817" t="s">
        <v>108</v>
      </c>
      <c r="D15" s="1834"/>
      <c r="E15" s="1821" t="str">
        <f>A15</f>
        <v>2</v>
      </c>
      <c r="F15" s="820" t="s">
        <v>109</v>
      </c>
      <c r="G15" s="556" t="str">
        <f>"Территория "&amp;E15</f>
        <v>Территория 2</v>
      </c>
      <c r="H15" s="808"/>
      <c r="I15" s="808"/>
      <c r="J15" s="805"/>
      <c r="K15" s="1640"/>
      <c r="L15" s="1640"/>
      <c r="M15" s="1640"/>
      <c r="N15" s="242"/>
      <c r="O15" s="1640"/>
      <c r="P15" s="241"/>
      <c r="Q15" s="241"/>
      <c r="R15" s="241"/>
      <c r="S15" s="241"/>
      <c r="T15" s="1835"/>
      <c r="U15" s="1835"/>
      <c r="V15" s="1835"/>
      <c r="W15" s="1835"/>
      <c r="X15" s="1835"/>
      <c r="Y15" s="1835"/>
      <c r="Z15" s="1835"/>
      <c r="AA15" s="1835"/>
      <c r="AB15" s="1835"/>
      <c r="AC15" s="1835"/>
    </row>
    <row customHeight="1" ht="15">
      <c r="A16" s="2233"/>
      <c r="B16" s="1176">
        <v>1</v>
      </c>
      <c r="C16" s="1176"/>
      <c r="D16" s="816"/>
      <c r="E16" s="1829" t="str">
        <f>A15&amp;"."&amp;B16</f>
        <v>2.1</v>
      </c>
      <c r="F16" s="819" t="s">
        <v>110</v>
      </c>
      <c r="G16" s="809" t="s">
        <v>111</v>
      </c>
      <c r="H16" s="809" t="s">
        <v>111</v>
      </c>
      <c r="I16" s="807" t="s">
        <v>112</v>
      </c>
      <c r="J16" s="1640"/>
      <c r="K16" s="1652"/>
      <c r="L16" s="1652"/>
      <c r="M16" s="1640" t="str">
        <f t="array" ref="M16:M16">IF(ISERROR(MATCH(MID(N16,1,250),MID(note_ter,1,250),0)),"n","y")</f>
        <v>n</v>
      </c>
      <c r="N16" s="1652"/>
      <c r="O16" s="1640" t="str">
        <f>H16&amp;"("&amp;I16&amp;")"</f>
        <v>Хасанский муниципальный округ(05548000)</v>
      </c>
      <c r="P16" s="1176"/>
      <c r="Q16" s="1176"/>
      <c r="R16" s="436"/>
      <c r="S16" s="1176"/>
      <c r="T16" s="1176"/>
      <c r="U16" s="1176"/>
      <c r="V16" s="438"/>
      <c r="W16" s="438"/>
      <c r="X16" s="435"/>
      <c r="Y16" s="435"/>
      <c r="Z16" s="435"/>
      <c r="AA16" s="435"/>
      <c r="AB16" s="435"/>
      <c r="AC16" s="435"/>
    </row>
    <row customHeight="1" ht="15">
      <c r="A17" s="2233"/>
      <c r="B17" s="1176"/>
      <c r="C17" s="428"/>
      <c r="D17" s="817"/>
      <c r="E17" s="437"/>
      <c r="F17" s="193"/>
      <c r="G17" s="431" t="s">
        <v>106</v>
      </c>
      <c r="H17" s="203"/>
      <c r="I17" s="440"/>
      <c r="J17" s="1652"/>
      <c r="K17" s="1652"/>
      <c r="L17" s="1652"/>
      <c r="M17" s="1652"/>
      <c r="N17" s="1640"/>
      <c r="O17" s="1652"/>
      <c r="P17" s="1176"/>
      <c r="Q17" s="1176"/>
      <c r="R17" s="436"/>
      <c r="S17" s="1176"/>
      <c r="T17" s="1176"/>
      <c r="U17" s="1176"/>
      <c r="V17" s="438"/>
      <c r="W17" s="438"/>
      <c r="X17" s="435"/>
      <c r="Y17" s="435"/>
      <c r="Z17" s="435"/>
      <c r="AA17" s="435"/>
      <c r="AB17" s="435"/>
      <c r="AC17" s="435"/>
    </row>
    <row customHeight="1" ht="15">
      <c r="A18" s="2233" t="s">
        <v>93</v>
      </c>
      <c r="B18" s="1176"/>
      <c r="C18" s="817" t="s">
        <v>108</v>
      </c>
      <c r="D18" s="1834"/>
      <c r="E18" s="1821" t="str">
        <f>A18</f>
        <v>3</v>
      </c>
      <c r="F18" s="820" t="s">
        <v>113</v>
      </c>
      <c r="G18" s="556" t="str">
        <f>"Территория "&amp;E18</f>
        <v>Территория 3</v>
      </c>
      <c r="H18" s="808"/>
      <c r="I18" s="808"/>
      <c r="J18" s="805"/>
      <c r="K18" s="1640"/>
      <c r="L18" s="1640"/>
      <c r="M18" s="1640"/>
      <c r="N18" s="242"/>
      <c r="O18" s="1640"/>
      <c r="P18" s="241"/>
      <c r="Q18" s="241"/>
      <c r="R18" s="241"/>
      <c r="S18" s="241"/>
      <c r="T18" s="1835"/>
      <c r="U18" s="1835"/>
      <c r="V18" s="1835"/>
      <c r="W18" s="1835"/>
      <c r="X18" s="1835"/>
      <c r="Y18" s="1835"/>
      <c r="Z18" s="1835"/>
      <c r="AA18" s="1835"/>
      <c r="AB18" s="1835"/>
      <c r="AC18" s="1835"/>
    </row>
    <row customHeight="1" ht="15">
      <c r="A19" s="2233"/>
      <c r="B19" s="1176">
        <v>1</v>
      </c>
      <c r="C19" s="1176"/>
      <c r="D19" s="816"/>
      <c r="E19" s="1829" t="str">
        <f>A18&amp;"."&amp;B19</f>
        <v>3.1</v>
      </c>
      <c r="F19" s="819" t="s">
        <v>114</v>
      </c>
      <c r="G19" s="809" t="s">
        <v>115</v>
      </c>
      <c r="H19" s="809" t="s">
        <v>115</v>
      </c>
      <c r="I19" s="807" t="s">
        <v>116</v>
      </c>
      <c r="J19" s="1640"/>
      <c r="K19" s="1652"/>
      <c r="L19" s="1652"/>
      <c r="M19" s="1640" t="str">
        <f t="array" ref="M19:M19">IF(ISERROR(MATCH(MID(N19,1,250),MID(note_ter,1,250),0)),"n","y")</f>
        <v>n</v>
      </c>
      <c r="N19" s="1652"/>
      <c r="O19" s="1640" t="str">
        <f>H19&amp;"("&amp;I19&amp;")"</f>
        <v>Кавалеровский муниципальный округ(05510000)</v>
      </c>
      <c r="P19" s="1176"/>
      <c r="Q19" s="1176"/>
      <c r="R19" s="436"/>
      <c r="S19" s="1176"/>
      <c r="T19" s="1176"/>
      <c r="U19" s="1176"/>
      <c r="V19" s="438"/>
      <c r="W19" s="438"/>
      <c r="X19" s="435"/>
      <c r="Y19" s="435"/>
      <c r="Z19" s="435"/>
      <c r="AA19" s="435"/>
      <c r="AB19" s="435"/>
      <c r="AC19" s="435"/>
    </row>
    <row customHeight="1" ht="15">
      <c r="A20" s="2233"/>
      <c r="B20" s="1176"/>
      <c r="C20" s="428"/>
      <c r="D20" s="817"/>
      <c r="E20" s="437"/>
      <c r="F20" s="193"/>
      <c r="G20" s="431" t="s">
        <v>106</v>
      </c>
      <c r="H20" s="203"/>
      <c r="I20" s="440"/>
      <c r="J20" s="1652"/>
      <c r="K20" s="1652"/>
      <c r="L20" s="1652"/>
      <c r="M20" s="1652"/>
      <c r="N20" s="1640"/>
      <c r="O20" s="1652"/>
      <c r="P20" s="1176"/>
      <c r="Q20" s="1176"/>
      <c r="R20" s="436"/>
      <c r="S20" s="1176"/>
      <c r="T20" s="1176"/>
      <c r="U20" s="1176"/>
      <c r="V20" s="438"/>
      <c r="W20" s="438"/>
      <c r="X20" s="435"/>
      <c r="Y20" s="435"/>
      <c r="Z20" s="435"/>
      <c r="AA20" s="435"/>
      <c r="AB20" s="435"/>
      <c r="AC20" s="435"/>
    </row>
    <row customHeight="1" ht="15">
      <c r="A21" s="2233" t="s">
        <v>94</v>
      </c>
      <c r="B21" s="1176"/>
      <c r="C21" s="817" t="s">
        <v>108</v>
      </c>
      <c r="D21" s="1834"/>
      <c r="E21" s="1821" t="str">
        <f>A21</f>
        <v>4</v>
      </c>
      <c r="F21" s="820" t="s">
        <v>117</v>
      </c>
      <c r="G21" s="556" t="str">
        <f>"Территория "&amp;E21</f>
        <v>Территория 4</v>
      </c>
      <c r="H21" s="808"/>
      <c r="I21" s="808"/>
      <c r="J21" s="805"/>
      <c r="K21" s="1640"/>
      <c r="L21" s="1640"/>
      <c r="M21" s="1640"/>
      <c r="N21" s="242"/>
      <c r="O21" s="1640"/>
      <c r="P21" s="241"/>
      <c r="Q21" s="241"/>
      <c r="R21" s="241"/>
      <c r="S21" s="241"/>
      <c r="T21" s="1835"/>
      <c r="U21" s="1835"/>
      <c r="V21" s="1835"/>
      <c r="W21" s="1835"/>
      <c r="X21" s="1835"/>
      <c r="Y21" s="1835"/>
      <c r="Z21" s="1835"/>
      <c r="AA21" s="1835"/>
      <c r="AB21" s="1835"/>
      <c r="AC21" s="1835"/>
    </row>
    <row customHeight="1" ht="15">
      <c r="A22" s="2233"/>
      <c r="B22" s="1176">
        <v>1</v>
      </c>
      <c r="C22" s="1176"/>
      <c r="D22" s="816"/>
      <c r="E22" s="1829" t="str">
        <f>A21&amp;"."&amp;B22</f>
        <v>4.1</v>
      </c>
      <c r="F22" s="819" t="s">
        <v>118</v>
      </c>
      <c r="G22" s="809" t="s">
        <v>119</v>
      </c>
      <c r="H22" s="809" t="s">
        <v>120</v>
      </c>
      <c r="I22" s="807" t="s">
        <v>121</v>
      </c>
      <c r="J22" s="1640"/>
      <c r="K22" s="1652"/>
      <c r="L22" s="1652"/>
      <c r="M22" s="1640" t="str">
        <f t="array" ref="M22:M22">IF(ISERROR(MATCH(MID(N22,1,250),MID(note_ter,1,250),0)),"n","y")</f>
        <v>n</v>
      </c>
      <c r="N22" s="1652"/>
      <c r="O22" s="1640" t="str">
        <f>H22&amp;"("&amp;I22&amp;")"</f>
        <v>Рощинское сельское поселение(05614431)</v>
      </c>
      <c r="P22" s="1176"/>
      <c r="Q22" s="1176"/>
      <c r="R22" s="436"/>
      <c r="S22" s="1176"/>
      <c r="T22" s="1176"/>
      <c r="U22" s="1176"/>
      <c r="V22" s="438"/>
      <c r="W22" s="438"/>
      <c r="X22" s="435"/>
      <c r="Y22" s="435"/>
      <c r="Z22" s="435"/>
      <c r="AA22" s="435"/>
      <c r="AB22" s="435"/>
      <c r="AC22" s="435"/>
    </row>
    <row customHeight="1" ht="15">
      <c r="A23" s="2233"/>
      <c r="B23" s="1176"/>
      <c r="C23" s="428"/>
      <c r="D23" s="817"/>
      <c r="E23" s="437"/>
      <c r="F23" s="193"/>
      <c r="G23" s="431" t="s">
        <v>106</v>
      </c>
      <c r="H23" s="203"/>
      <c r="I23" s="440"/>
      <c r="J23" s="1652"/>
      <c r="K23" s="1652"/>
      <c r="L23" s="1652"/>
      <c r="M23" s="1652"/>
      <c r="N23" s="1640"/>
      <c r="O23" s="1652"/>
      <c r="P23" s="1176"/>
      <c r="Q23" s="1176"/>
      <c r="R23" s="436"/>
      <c r="S23" s="1176"/>
      <c r="T23" s="1176"/>
      <c r="U23" s="1176"/>
      <c r="V23" s="438"/>
      <c r="W23" s="438"/>
      <c r="X23" s="435"/>
      <c r="Y23" s="435"/>
      <c r="Z23" s="435"/>
      <c r="AA23" s="435"/>
      <c r="AB23" s="435"/>
      <c r="AC23" s="435"/>
    </row>
    <row customHeight="1" ht="15">
      <c r="A24" s="2233" t="s">
        <v>122</v>
      </c>
      <c r="B24" s="1176"/>
      <c r="C24" s="817" t="s">
        <v>108</v>
      </c>
      <c r="D24" s="1834"/>
      <c r="E24" s="1821" t="str">
        <f>A24</f>
        <v>5</v>
      </c>
      <c r="F24" s="820" t="s">
        <v>123</v>
      </c>
      <c r="G24" s="556" t="str">
        <f>"Территория "&amp;E24</f>
        <v>Территория 5</v>
      </c>
      <c r="H24" s="808"/>
      <c r="I24" s="808"/>
      <c r="J24" s="805"/>
      <c r="K24" s="1640"/>
      <c r="L24" s="1640"/>
      <c r="M24" s="1640"/>
      <c r="N24" s="242"/>
      <c r="O24" s="1640"/>
      <c r="P24" s="241"/>
      <c r="Q24" s="241"/>
      <c r="R24" s="241"/>
      <c r="S24" s="241"/>
      <c r="T24" s="1835"/>
      <c r="U24" s="1835"/>
      <c r="V24" s="1835"/>
      <c r="W24" s="1835"/>
      <c r="X24" s="1835"/>
      <c r="Y24" s="1835"/>
      <c r="Z24" s="1835"/>
      <c r="AA24" s="1835"/>
      <c r="AB24" s="1835"/>
      <c r="AC24" s="1835"/>
    </row>
    <row customHeight="1" ht="15">
      <c r="A25" s="2233"/>
      <c r="B25" s="1176">
        <v>1</v>
      </c>
      <c r="C25" s="1176"/>
      <c r="D25" s="816"/>
      <c r="E25" s="1829" t="str">
        <f>A24&amp;"."&amp;B25</f>
        <v>5.1</v>
      </c>
      <c r="F25" s="819" t="s">
        <v>124</v>
      </c>
      <c r="G25" s="809" t="s">
        <v>125</v>
      </c>
      <c r="H25" s="809" t="s">
        <v>125</v>
      </c>
      <c r="I25" s="807" t="s">
        <v>126</v>
      </c>
      <c r="J25" s="1640"/>
      <c r="K25" s="1652"/>
      <c r="L25" s="1652"/>
      <c r="M25" s="1640" t="str">
        <f t="array" ref="M25:M25">IF(ISERROR(MATCH(MID(N25,1,250),MID(note_ter,1,250),0)),"n","y")</f>
        <v>n</v>
      </c>
      <c r="N25" s="1652"/>
      <c r="O25" s="1640" t="str">
        <f>H25&amp;"("&amp;I25&amp;")"</f>
        <v>Находкинский городской округ(05714000)</v>
      </c>
      <c r="P25" s="1176"/>
      <c r="Q25" s="1176"/>
      <c r="R25" s="436"/>
      <c r="S25" s="1176"/>
      <c r="T25" s="1176"/>
      <c r="U25" s="1176"/>
      <c r="V25" s="438"/>
      <c r="W25" s="438"/>
      <c r="X25" s="435"/>
      <c r="Y25" s="435"/>
      <c r="Z25" s="435"/>
      <c r="AA25" s="435"/>
      <c r="AB25" s="435"/>
      <c r="AC25" s="435"/>
    </row>
    <row customHeight="1" ht="15">
      <c r="A26" s="2233"/>
      <c r="B26" s="1176"/>
      <c r="C26" s="428"/>
      <c r="D26" s="817"/>
      <c r="E26" s="437"/>
      <c r="F26" s="193"/>
      <c r="G26" s="431" t="s">
        <v>106</v>
      </c>
      <c r="H26" s="203"/>
      <c r="I26" s="440"/>
      <c r="J26" s="1652"/>
      <c r="K26" s="1652"/>
      <c r="L26" s="1652"/>
      <c r="M26" s="1652"/>
      <c r="N26" s="1640"/>
      <c r="O26" s="1652"/>
      <c r="P26" s="1176"/>
      <c r="Q26" s="1176"/>
      <c r="R26" s="436"/>
      <c r="S26" s="1176"/>
      <c r="T26" s="1176"/>
      <c r="U26" s="1176"/>
      <c r="V26" s="438"/>
      <c r="W26" s="438"/>
      <c r="X26" s="435"/>
      <c r="Y26" s="435"/>
      <c r="Z26" s="435"/>
      <c r="AA26" s="435"/>
      <c r="AB26" s="435"/>
      <c r="AC26" s="435"/>
    </row>
    <row customHeight="1" ht="15">
      <c r="A27" s="2233" t="s">
        <v>95</v>
      </c>
      <c r="B27" s="1176"/>
      <c r="C27" s="817" t="s">
        <v>108</v>
      </c>
      <c r="D27" s="1834"/>
      <c r="E27" s="1821" t="str">
        <f>A27</f>
        <v>6</v>
      </c>
      <c r="F27" s="820" t="s">
        <v>127</v>
      </c>
      <c r="G27" s="556" t="str">
        <f>"Территория "&amp;E27</f>
        <v>Территория 6</v>
      </c>
      <c r="H27" s="808"/>
      <c r="I27" s="808"/>
      <c r="J27" s="805"/>
      <c r="K27" s="1640"/>
      <c r="L27" s="1640"/>
      <c r="M27" s="1640"/>
      <c r="N27" s="242"/>
      <c r="O27" s="1640"/>
      <c r="P27" s="241"/>
      <c r="Q27" s="241"/>
      <c r="R27" s="241"/>
      <c r="S27" s="241"/>
      <c r="T27" s="1835"/>
      <c r="U27" s="1835"/>
      <c r="V27" s="1835"/>
      <c r="W27" s="1835"/>
      <c r="X27" s="1835"/>
      <c r="Y27" s="1835"/>
      <c r="Z27" s="1835"/>
      <c r="AA27" s="1835"/>
      <c r="AB27" s="1835"/>
      <c r="AC27" s="1835"/>
    </row>
    <row customHeight="1" ht="15">
      <c r="A28" s="2233"/>
      <c r="B28" s="1176">
        <v>1</v>
      </c>
      <c r="C28" s="1176"/>
      <c r="D28" s="816"/>
      <c r="E28" s="1829" t="str">
        <f>A27&amp;"."&amp;B28</f>
        <v>6.1</v>
      </c>
      <c r="F28" s="819" t="s">
        <v>128</v>
      </c>
      <c r="G28" s="809" t="s">
        <v>129</v>
      </c>
      <c r="H28" s="809" t="s">
        <v>129</v>
      </c>
      <c r="I28" s="807" t="s">
        <v>130</v>
      </c>
      <c r="J28" s="1640"/>
      <c r="K28" s="1652"/>
      <c r="L28" s="1652"/>
      <c r="M28" s="1640" t="str">
        <f t="array" ref="M28:M28">IF(ISERROR(MATCH(MID(N28,1,250),MID(note_ter,1,250),0)),"n","y")</f>
        <v>n</v>
      </c>
      <c r="N28" s="1652"/>
      <c r="O28" s="1640" t="str">
        <f>H28&amp;"("&amp;I28&amp;")"</f>
        <v>Хорольский муниципальный округ(05550000)</v>
      </c>
      <c r="P28" s="1176"/>
      <c r="Q28" s="1176"/>
      <c r="R28" s="436"/>
      <c r="S28" s="1176"/>
      <c r="T28" s="1176"/>
      <c r="U28" s="1176"/>
      <c r="V28" s="438"/>
      <c r="W28" s="438"/>
      <c r="X28" s="435"/>
      <c r="Y28" s="435"/>
      <c r="Z28" s="435"/>
      <c r="AA28" s="435"/>
      <c r="AB28" s="435"/>
      <c r="AC28" s="435"/>
    </row>
    <row customHeight="1" ht="15">
      <c r="A29" s="2233"/>
      <c r="B29" s="1176"/>
      <c r="C29" s="428"/>
      <c r="D29" s="817"/>
      <c r="E29" s="437"/>
      <c r="F29" s="193"/>
      <c r="G29" s="431" t="s">
        <v>106</v>
      </c>
      <c r="H29" s="203"/>
      <c r="I29" s="440"/>
      <c r="J29" s="1652"/>
      <c r="K29" s="1652"/>
      <c r="L29" s="1652"/>
      <c r="M29" s="1652"/>
      <c r="N29" s="1640"/>
      <c r="O29" s="1652"/>
      <c r="P29" s="1176"/>
      <c r="Q29" s="1176"/>
      <c r="R29" s="436"/>
      <c r="S29" s="1176"/>
      <c r="T29" s="1176"/>
      <c r="U29" s="1176"/>
      <c r="V29" s="438"/>
      <c r="W29" s="438"/>
      <c r="X29" s="435"/>
      <c r="Y29" s="435"/>
      <c r="Z29" s="435"/>
      <c r="AA29" s="435"/>
      <c r="AB29" s="435"/>
      <c r="AC29" s="435"/>
    </row>
    <row customHeight="1" ht="15">
      <c r="A30" s="2233" t="s">
        <v>96</v>
      </c>
      <c r="B30" s="1176"/>
      <c r="C30" s="817" t="s">
        <v>108</v>
      </c>
      <c r="D30" s="1834"/>
      <c r="E30" s="1821" t="str">
        <f>A30</f>
        <v>7</v>
      </c>
      <c r="F30" s="820" t="s">
        <v>131</v>
      </c>
      <c r="G30" s="556" t="str">
        <f>"Территория "&amp;E30</f>
        <v>Территория 7</v>
      </c>
      <c r="H30" s="808"/>
      <c r="I30" s="808"/>
      <c r="J30" s="805"/>
      <c r="K30" s="1640"/>
      <c r="L30" s="1640"/>
      <c r="M30" s="1640"/>
      <c r="N30" s="242"/>
      <c r="O30" s="1640"/>
      <c r="P30" s="241"/>
      <c r="Q30" s="241"/>
      <c r="R30" s="241"/>
      <c r="S30" s="241"/>
      <c r="T30" s="1835"/>
      <c r="U30" s="1835"/>
      <c r="V30" s="1835"/>
      <c r="W30" s="1835"/>
      <c r="X30" s="1835"/>
      <c r="Y30" s="1835"/>
      <c r="Z30" s="1835"/>
      <c r="AA30" s="1835"/>
      <c r="AB30" s="1835"/>
      <c r="AC30" s="1835"/>
    </row>
    <row customHeight="1" ht="15">
      <c r="A31" s="2233"/>
      <c r="B31" s="1176">
        <v>1</v>
      </c>
      <c r="C31" s="1176"/>
      <c r="D31" s="816"/>
      <c r="E31" s="1829" t="str">
        <f>A30&amp;"."&amp;B31</f>
        <v>7.1</v>
      </c>
      <c r="F31" s="819" t="s">
        <v>132</v>
      </c>
      <c r="G31" s="809" t="s">
        <v>103</v>
      </c>
      <c r="H31" s="809" t="s">
        <v>103</v>
      </c>
      <c r="I31" s="807" t="s">
        <v>133</v>
      </c>
      <c r="J31" s="1640"/>
      <c r="K31" s="1652"/>
      <c r="L31" s="1652"/>
      <c r="M31" s="1640" t="str">
        <f t="array" ref="M31:M31">IF(ISERROR(MATCH(MID(N31,1,250),MID(note_ter,1,250),0)),"n","y")</f>
        <v>n</v>
      </c>
      <c r="N31" s="1652"/>
      <c r="O31" s="1640" t="str">
        <f>H31&amp;"("&amp;I31&amp;")"</f>
        <v>Кировский муниципальный район(05612000)</v>
      </c>
      <c r="P31" s="1176"/>
      <c r="Q31" s="1176"/>
      <c r="R31" s="436"/>
      <c r="S31" s="1176"/>
      <c r="T31" s="1176"/>
      <c r="U31" s="1176"/>
      <c r="V31" s="438"/>
      <c r="W31" s="438"/>
      <c r="X31" s="435"/>
      <c r="Y31" s="435"/>
      <c r="Z31" s="435"/>
      <c r="AA31" s="435"/>
      <c r="AB31" s="435"/>
      <c r="AC31" s="435"/>
    </row>
    <row customHeight="1" ht="15">
      <c r="A32" s="2233"/>
      <c r="B32" s="1176"/>
      <c r="C32" s="428"/>
      <c r="D32" s="817"/>
      <c r="E32" s="437"/>
      <c r="F32" s="193"/>
      <c r="G32" s="431" t="s">
        <v>106</v>
      </c>
      <c r="H32" s="203"/>
      <c r="I32" s="440"/>
      <c r="J32" s="1652"/>
      <c r="K32" s="1652"/>
      <c r="L32" s="1652"/>
      <c r="M32" s="1652"/>
      <c r="N32" s="1640"/>
      <c r="O32" s="1652"/>
      <c r="P32" s="1176"/>
      <c r="Q32" s="1176"/>
      <c r="R32" s="436"/>
      <c r="S32" s="1176"/>
      <c r="T32" s="1176"/>
      <c r="U32" s="1176"/>
      <c r="V32" s="438"/>
      <c r="W32" s="438"/>
      <c r="X32" s="435"/>
      <c r="Y32" s="435"/>
      <c r="Z32" s="435"/>
      <c r="AA32" s="435"/>
      <c r="AB32" s="435"/>
      <c r="AC32" s="435"/>
    </row>
    <row customHeight="1" ht="15">
      <c r="A33" s="2233" t="s">
        <v>134</v>
      </c>
      <c r="B33" s="1176"/>
      <c r="C33" s="817" t="s">
        <v>108</v>
      </c>
      <c r="D33" s="1834"/>
      <c r="E33" s="1821" t="str">
        <f>A33</f>
        <v>8</v>
      </c>
      <c r="F33" s="820" t="s">
        <v>135</v>
      </c>
      <c r="G33" s="556" t="str">
        <f>"Территория "&amp;E33</f>
        <v>Территория 8</v>
      </c>
      <c r="H33" s="808"/>
      <c r="I33" s="808"/>
      <c r="J33" s="805"/>
      <c r="K33" s="1640"/>
      <c r="L33" s="1640"/>
      <c r="M33" s="1640"/>
      <c r="N33" s="242"/>
      <c r="O33" s="1640"/>
      <c r="P33" s="241"/>
      <c r="Q33" s="241"/>
      <c r="R33" s="241"/>
      <c r="S33" s="241"/>
      <c r="T33" s="1835"/>
      <c r="U33" s="1835"/>
      <c r="V33" s="1835"/>
      <c r="W33" s="1835"/>
      <c r="X33" s="1835"/>
      <c r="Y33" s="1835"/>
      <c r="Z33" s="1835"/>
      <c r="AA33" s="1835"/>
      <c r="AB33" s="1835"/>
      <c r="AC33" s="1835"/>
    </row>
    <row customHeight="1" ht="15">
      <c r="A34" s="2233"/>
      <c r="B34" s="1176">
        <v>1</v>
      </c>
      <c r="C34" s="1176"/>
      <c r="D34" s="816"/>
      <c r="E34" s="1829" t="str">
        <f>A33&amp;"."&amp;B34</f>
        <v>8.1</v>
      </c>
      <c r="F34" s="819" t="s">
        <v>136</v>
      </c>
      <c r="G34" s="809" t="s">
        <v>137</v>
      </c>
      <c r="H34" s="809" t="s">
        <v>137</v>
      </c>
      <c r="I34" s="807" t="s">
        <v>138</v>
      </c>
      <c r="J34" s="1640"/>
      <c r="K34" s="1652"/>
      <c r="L34" s="1652"/>
      <c r="M34" s="1640" t="str">
        <f t="array" ref="M34:M34">IF(ISERROR(MATCH(MID(N34,1,250),MID(note_ter,1,250),0)),"n","y")</f>
        <v>n</v>
      </c>
      <c r="N34" s="1652"/>
      <c r="O34" s="1640" t="str">
        <f>H34&amp;"("&amp;I34&amp;")"</f>
        <v>Лесозаводский городской округ(05711000)</v>
      </c>
      <c r="P34" s="1176"/>
      <c r="Q34" s="1176"/>
      <c r="R34" s="436"/>
      <c r="S34" s="1176"/>
      <c r="T34" s="1176"/>
      <c r="U34" s="1176"/>
      <c r="V34" s="438"/>
      <c r="W34" s="438"/>
      <c r="X34" s="435"/>
      <c r="Y34" s="435"/>
      <c r="Z34" s="435"/>
      <c r="AA34" s="435"/>
      <c r="AB34" s="435"/>
      <c r="AC34" s="435"/>
    </row>
    <row customHeight="1" ht="15">
      <c r="A35" s="2233"/>
      <c r="B35" s="1176"/>
      <c r="C35" s="428"/>
      <c r="D35" s="817"/>
      <c r="E35" s="437"/>
      <c r="F35" s="193"/>
      <c r="G35" s="431" t="s">
        <v>106</v>
      </c>
      <c r="H35" s="203"/>
      <c r="I35" s="440"/>
      <c r="J35" s="1652"/>
      <c r="K35" s="1652"/>
      <c r="L35" s="1652"/>
      <c r="M35" s="1652"/>
      <c r="N35" s="1640"/>
      <c r="O35" s="1652"/>
      <c r="P35" s="1176"/>
      <c r="Q35" s="1176"/>
      <c r="R35" s="436"/>
      <c r="S35" s="1176"/>
      <c r="T35" s="1176"/>
      <c r="U35" s="1176"/>
      <c r="V35" s="438"/>
      <c r="W35" s="438"/>
      <c r="X35" s="435"/>
      <c r="Y35" s="435"/>
      <c r="Z35" s="435"/>
      <c r="AA35" s="435"/>
      <c r="AB35" s="435"/>
      <c r="AC35" s="435"/>
    </row>
    <row customHeight="1" ht="15">
      <c r="A36" s="2233" t="s">
        <v>139</v>
      </c>
      <c r="B36" s="1176"/>
      <c r="C36" s="817" t="s">
        <v>108</v>
      </c>
      <c r="D36" s="1834"/>
      <c r="E36" s="1821" t="str">
        <f>A36</f>
        <v>9</v>
      </c>
      <c r="F36" s="820" t="s">
        <v>140</v>
      </c>
      <c r="G36" s="556" t="str">
        <f>"Территория "&amp;E36</f>
        <v>Территория 9</v>
      </c>
      <c r="H36" s="808"/>
      <c r="I36" s="808"/>
      <c r="J36" s="805"/>
      <c r="K36" s="1640"/>
      <c r="L36" s="1640"/>
      <c r="M36" s="1640"/>
      <c r="N36" s="242"/>
      <c r="O36" s="1640"/>
      <c r="P36" s="241"/>
      <c r="Q36" s="241"/>
      <c r="R36" s="241"/>
      <c r="S36" s="241"/>
      <c r="T36" s="1835"/>
      <c r="U36" s="1835"/>
      <c r="V36" s="1835"/>
      <c r="W36" s="1835"/>
      <c r="X36" s="1835"/>
      <c r="Y36" s="1835"/>
      <c r="Z36" s="1835"/>
      <c r="AA36" s="1835"/>
      <c r="AB36" s="1835"/>
      <c r="AC36" s="1835"/>
    </row>
    <row customHeight="1" ht="15">
      <c r="A37" s="2233"/>
      <c r="B37" s="1176">
        <v>1</v>
      </c>
      <c r="C37" s="1176"/>
      <c r="D37" s="816"/>
      <c r="E37" s="1829" t="str">
        <f>A36&amp;"."&amp;B37</f>
        <v>9.1</v>
      </c>
      <c r="F37" s="819" t="s">
        <v>141</v>
      </c>
      <c r="G37" s="809" t="s">
        <v>142</v>
      </c>
      <c r="H37" s="809" t="s">
        <v>142</v>
      </c>
      <c r="I37" s="807" t="s">
        <v>143</v>
      </c>
      <c r="J37" s="1640"/>
      <c r="K37" s="1652"/>
      <c r="L37" s="1652"/>
      <c r="M37" s="1640" t="str">
        <f t="array" ref="M37:M37">IF(ISERROR(MATCH(MID(N37,1,250),MID(note_ter,1,250),0)),"n","y")</f>
        <v>n</v>
      </c>
      <c r="N37" s="1652"/>
      <c r="O37" s="1640" t="str">
        <f>H37&amp;"("&amp;I37&amp;")"</f>
        <v>Анучинский муниципальный округ(05502000)</v>
      </c>
      <c r="P37" s="1176"/>
      <c r="Q37" s="1176"/>
      <c r="R37" s="436"/>
      <c r="S37" s="1176"/>
      <c r="T37" s="1176"/>
      <c r="U37" s="1176"/>
      <c r="V37" s="438"/>
      <c r="W37" s="438"/>
      <c r="X37" s="435"/>
      <c r="Y37" s="435"/>
      <c r="Z37" s="435"/>
      <c r="AA37" s="435"/>
      <c r="AB37" s="435"/>
      <c r="AC37" s="435"/>
    </row>
    <row customHeight="1" ht="15">
      <c r="A38" s="2233"/>
      <c r="B38" s="1176"/>
      <c r="C38" s="428"/>
      <c r="D38" s="817"/>
      <c r="E38" s="437"/>
      <c r="F38" s="193"/>
      <c r="G38" s="431" t="s">
        <v>106</v>
      </c>
      <c r="H38" s="203"/>
      <c r="I38" s="440"/>
      <c r="J38" s="1652"/>
      <c r="K38" s="1652"/>
      <c r="L38" s="1652"/>
      <c r="M38" s="1652"/>
      <c r="N38" s="1640"/>
      <c r="O38" s="1652"/>
      <c r="P38" s="1176"/>
      <c r="Q38" s="1176"/>
      <c r="R38" s="436"/>
      <c r="S38" s="1176"/>
      <c r="T38" s="1176"/>
      <c r="U38" s="1176"/>
      <c r="V38" s="438"/>
      <c r="W38" s="438"/>
      <c r="X38" s="435"/>
      <c r="Y38" s="435"/>
      <c r="Z38" s="435"/>
      <c r="AA38" s="435"/>
      <c r="AB38" s="435"/>
      <c r="AC38" s="435"/>
    </row>
    <row customHeight="1" ht="15">
      <c r="A39" s="2233" t="s">
        <v>144</v>
      </c>
      <c r="B39" s="1176"/>
      <c r="C39" s="817" t="s">
        <v>108</v>
      </c>
      <c r="D39" s="1834"/>
      <c r="E39" s="1821" t="str">
        <f>A39</f>
        <v>10</v>
      </c>
      <c r="F39" s="820" t="s">
        <v>145</v>
      </c>
      <c r="G39" s="556" t="str">
        <f>"Территория "&amp;E39</f>
        <v>Территория 10</v>
      </c>
      <c r="H39" s="808"/>
      <c r="I39" s="808"/>
      <c r="J39" s="805"/>
      <c r="K39" s="1640"/>
      <c r="L39" s="1640"/>
      <c r="M39" s="1640"/>
      <c r="N39" s="242"/>
      <c r="O39" s="1640"/>
      <c r="P39" s="241"/>
      <c r="Q39" s="241"/>
      <c r="R39" s="241"/>
      <c r="S39" s="241"/>
      <c r="T39" s="1835"/>
      <c r="U39" s="1835"/>
      <c r="V39" s="1835"/>
      <c r="W39" s="1835"/>
      <c r="X39" s="1835"/>
      <c r="Y39" s="1835"/>
      <c r="Z39" s="1835"/>
      <c r="AA39" s="1835"/>
      <c r="AB39" s="1835"/>
      <c r="AC39" s="1835"/>
    </row>
    <row customHeight="1" ht="15">
      <c r="A40" s="2233"/>
      <c r="B40" s="1176">
        <v>1</v>
      </c>
      <c r="C40" s="1176"/>
      <c r="D40" s="816"/>
      <c r="E40" s="1829" t="str">
        <f>A39&amp;"."&amp;B40</f>
        <v>10.1</v>
      </c>
      <c r="F40" s="819" t="s">
        <v>146</v>
      </c>
      <c r="G40" s="809" t="s">
        <v>147</v>
      </c>
      <c r="H40" s="809" t="s">
        <v>148</v>
      </c>
      <c r="I40" s="807" t="s">
        <v>149</v>
      </c>
      <c r="J40" s="1640"/>
      <c r="K40" s="1652"/>
      <c r="L40" s="1652"/>
      <c r="M40" s="1640" t="str">
        <f t="array" ref="M40:M40">IF(ISERROR(MATCH(MID(N40,1,250),MID(note_ter,1,250),0)),"n","y")</f>
        <v>n</v>
      </c>
      <c r="N40" s="1652"/>
      <c r="O40" s="1640" t="str">
        <f>H40&amp;"("&amp;I40&amp;")"</f>
        <v>Ивановкое сельское поселение(05620408)</v>
      </c>
      <c r="P40" s="1176"/>
      <c r="Q40" s="1176"/>
      <c r="R40" s="436"/>
      <c r="S40" s="1176"/>
      <c r="T40" s="1176"/>
      <c r="U40" s="1176"/>
      <c r="V40" s="438"/>
      <c r="W40" s="438"/>
      <c r="X40" s="435"/>
      <c r="Y40" s="435"/>
      <c r="Z40" s="435"/>
      <c r="AA40" s="435"/>
      <c r="AB40" s="435"/>
      <c r="AC40" s="435"/>
    </row>
    <row customHeight="1" ht="15">
      <c r="A41" s="2233"/>
      <c r="B41" s="1176"/>
      <c r="C41" s="428"/>
      <c r="D41" s="817"/>
      <c r="E41" s="437"/>
      <c r="F41" s="193"/>
      <c r="G41" s="431" t="s">
        <v>106</v>
      </c>
      <c r="H41" s="203"/>
      <c r="I41" s="440"/>
      <c r="J41" s="1652"/>
      <c r="K41" s="1652"/>
      <c r="L41" s="1652"/>
      <c r="M41" s="1652"/>
      <c r="N41" s="1640"/>
      <c r="O41" s="1652"/>
      <c r="P41" s="1176"/>
      <c r="Q41" s="1176"/>
      <c r="R41" s="436"/>
      <c r="S41" s="1176"/>
      <c r="T41" s="1176"/>
      <c r="U41" s="1176"/>
      <c r="V41" s="438"/>
      <c r="W41" s="438"/>
      <c r="X41" s="435"/>
      <c r="Y41" s="435"/>
      <c r="Z41" s="435"/>
      <c r="AA41" s="435"/>
      <c r="AB41" s="435"/>
      <c r="AC41" s="435"/>
    </row>
    <row customHeight="1" ht="15">
      <c r="A42" s="2233" t="s">
        <v>150</v>
      </c>
      <c r="B42" s="1176"/>
      <c r="C42" s="817" t="s">
        <v>108</v>
      </c>
      <c r="D42" s="1834"/>
      <c r="E42" s="1821" t="str">
        <f>A42</f>
        <v>11</v>
      </c>
      <c r="F42" s="820" t="s">
        <v>151</v>
      </c>
      <c r="G42" s="556" t="str">
        <f>"Территория "&amp;E42</f>
        <v>Территория 11</v>
      </c>
      <c r="H42" s="808"/>
      <c r="I42" s="808"/>
      <c r="J42" s="805"/>
      <c r="K42" s="1640"/>
      <c r="L42" s="1640"/>
      <c r="M42" s="1640"/>
      <c r="N42" s="242"/>
      <c r="O42" s="1640"/>
      <c r="P42" s="241"/>
      <c r="Q42" s="241"/>
      <c r="R42" s="241"/>
      <c r="S42" s="241"/>
      <c r="T42" s="1835"/>
      <c r="U42" s="1835"/>
      <c r="V42" s="1835"/>
      <c r="W42" s="1835"/>
      <c r="X42" s="1835"/>
      <c r="Y42" s="1835"/>
      <c r="Z42" s="1835"/>
      <c r="AA42" s="1835"/>
      <c r="AB42" s="1835"/>
      <c r="AC42" s="1835"/>
    </row>
    <row customHeight="1" ht="15">
      <c r="A43" s="2233"/>
      <c r="B43" s="1176">
        <v>1</v>
      </c>
      <c r="C43" s="1176"/>
      <c r="D43" s="816"/>
      <c r="E43" s="1829" t="str">
        <f>A42&amp;"."&amp;B43</f>
        <v>11.1</v>
      </c>
      <c r="F43" s="819" t="s">
        <v>128</v>
      </c>
      <c r="G43" s="809" t="s">
        <v>129</v>
      </c>
      <c r="H43" s="809" t="s">
        <v>129</v>
      </c>
      <c r="I43" s="807" t="s">
        <v>130</v>
      </c>
      <c r="J43" s="1640"/>
      <c r="K43" s="1652"/>
      <c r="L43" s="1652"/>
      <c r="M43" s="1640" t="str">
        <f t="array" ref="M43:M43">IF(ISERROR(MATCH(MID(N43,1,250),MID(note_ter,1,250),0)),"n","y")</f>
        <v>n</v>
      </c>
      <c r="N43" s="1652"/>
      <c r="O43" s="1640" t="str">
        <f>H43&amp;"("&amp;I43&amp;")"</f>
        <v>Хорольский муниципальный округ(05550000)</v>
      </c>
      <c r="P43" s="1176"/>
      <c r="Q43" s="1176"/>
      <c r="R43" s="436"/>
      <c r="S43" s="1176"/>
      <c r="T43" s="1176"/>
      <c r="U43" s="1176"/>
      <c r="V43" s="438"/>
      <c r="W43" s="438"/>
      <c r="X43" s="435"/>
      <c r="Y43" s="435"/>
      <c r="Z43" s="435"/>
      <c r="AA43" s="435"/>
      <c r="AB43" s="435"/>
      <c r="AC43" s="435"/>
    </row>
    <row customHeight="1" ht="15">
      <c r="A44" s="2233"/>
      <c r="B44" s="1176"/>
      <c r="C44" s="428"/>
      <c r="D44" s="817"/>
      <c r="E44" s="437"/>
      <c r="F44" s="193"/>
      <c r="G44" s="431" t="s">
        <v>106</v>
      </c>
      <c r="H44" s="203"/>
      <c r="I44" s="440"/>
      <c r="J44" s="1652"/>
      <c r="K44" s="1652"/>
      <c r="L44" s="1652"/>
      <c r="M44" s="1652"/>
      <c r="N44" s="1640"/>
      <c r="O44" s="1652"/>
      <c r="P44" s="1176"/>
      <c r="Q44" s="1176"/>
      <c r="R44" s="436"/>
      <c r="S44" s="1176"/>
      <c r="T44" s="1176"/>
      <c r="U44" s="1176"/>
      <c r="V44" s="438"/>
      <c r="W44" s="438"/>
      <c r="X44" s="435"/>
      <c r="Y44" s="435"/>
      <c r="Z44" s="435"/>
      <c r="AA44" s="435"/>
      <c r="AB44" s="435"/>
      <c r="AC44" s="435"/>
    </row>
    <row customHeight="1" ht="15">
      <c r="A45" s="2233" t="s">
        <v>152</v>
      </c>
      <c r="B45" s="1176"/>
      <c r="C45" s="817" t="s">
        <v>108</v>
      </c>
      <c r="D45" s="1834"/>
      <c r="E45" s="1821" t="str">
        <f>A45</f>
        <v>12</v>
      </c>
      <c r="F45" s="820" t="s">
        <v>153</v>
      </c>
      <c r="G45" s="556" t="str">
        <f>"Территория "&amp;E45</f>
        <v>Территория 12</v>
      </c>
      <c r="H45" s="808"/>
      <c r="I45" s="808"/>
      <c r="J45" s="805"/>
      <c r="K45" s="1640"/>
      <c r="L45" s="1640"/>
      <c r="M45" s="1640"/>
      <c r="N45" s="242"/>
      <c r="O45" s="1640"/>
      <c r="P45" s="241"/>
      <c r="Q45" s="241"/>
      <c r="R45" s="241"/>
      <c r="S45" s="241"/>
      <c r="T45" s="1835"/>
      <c r="U45" s="1835"/>
      <c r="V45" s="1835"/>
      <c r="W45" s="1835"/>
      <c r="X45" s="1835"/>
      <c r="Y45" s="1835"/>
      <c r="Z45" s="1835"/>
      <c r="AA45" s="1835"/>
      <c r="AB45" s="1835"/>
      <c r="AC45" s="1835"/>
    </row>
    <row customHeight="1" ht="15">
      <c r="A46" s="2233"/>
      <c r="B46" s="1176">
        <v>1</v>
      </c>
      <c r="C46" s="1176"/>
      <c r="D46" s="816"/>
      <c r="E46" s="1829" t="str">
        <f>A45&amp;"."&amp;B46</f>
        <v>12.1</v>
      </c>
      <c r="F46" s="819" t="s">
        <v>154</v>
      </c>
      <c r="G46" s="809" t="s">
        <v>155</v>
      </c>
      <c r="H46" s="809" t="s">
        <v>156</v>
      </c>
      <c r="I46" s="807" t="s">
        <v>157</v>
      </c>
      <c r="J46" s="1640"/>
      <c r="K46" s="1652"/>
      <c r="L46" s="1652"/>
      <c r="M46" s="1640" t="str">
        <f t="array" ref="M46:M46">IF(ISERROR(MATCH(MID(N46,1,250),MID(note_ter,1,250),0)),"n","y")</f>
        <v>n</v>
      </c>
      <c r="N46" s="1652"/>
      <c r="O46" s="1640" t="str">
        <f>H46&amp;"("&amp;I46&amp;")"</f>
        <v>Спасское сельское поселение(05637440)</v>
      </c>
      <c r="P46" s="1176"/>
      <c r="Q46" s="1176"/>
      <c r="R46" s="436"/>
      <c r="S46" s="1176"/>
      <c r="T46" s="1176"/>
      <c r="U46" s="1176"/>
      <c r="V46" s="438"/>
      <c r="W46" s="438"/>
      <c r="X46" s="435"/>
      <c r="Y46" s="435"/>
      <c r="Z46" s="435"/>
      <c r="AA46" s="435"/>
      <c r="AB46" s="435"/>
      <c r="AC46" s="435"/>
    </row>
    <row customHeight="1" ht="15">
      <c r="A47" s="2233"/>
      <c r="B47" s="1176"/>
      <c r="C47" s="428"/>
      <c r="D47" s="817"/>
      <c r="E47" s="437"/>
      <c r="F47" s="193"/>
      <c r="G47" s="431" t="s">
        <v>106</v>
      </c>
      <c r="H47" s="203"/>
      <c r="I47" s="440"/>
      <c r="J47" s="1652"/>
      <c r="K47" s="1652"/>
      <c r="L47" s="1652"/>
      <c r="M47" s="1652"/>
      <c r="N47" s="1640"/>
      <c r="O47" s="1652"/>
      <c r="P47" s="1176"/>
      <c r="Q47" s="1176"/>
      <c r="R47" s="436"/>
      <c r="S47" s="1176"/>
      <c r="T47" s="1176"/>
      <c r="U47" s="1176"/>
      <c r="V47" s="438"/>
      <c r="W47" s="438"/>
      <c r="X47" s="435"/>
      <c r="Y47" s="435"/>
      <c r="Z47" s="435"/>
      <c r="AA47" s="435"/>
      <c r="AB47" s="435"/>
      <c r="AC47" s="435"/>
    </row>
    <row customHeight="1" ht="15">
      <c r="A48" s="2233" t="s">
        <v>158</v>
      </c>
      <c r="B48" s="1176"/>
      <c r="C48" s="817" t="s">
        <v>108</v>
      </c>
      <c r="D48" s="1834"/>
      <c r="E48" s="1821" t="str">
        <f>A48</f>
        <v>13</v>
      </c>
      <c r="F48" s="820" t="s">
        <v>159</v>
      </c>
      <c r="G48" s="556" t="str">
        <f>"Территория "&amp;E48</f>
        <v>Территория 13</v>
      </c>
      <c r="H48" s="808"/>
      <c r="I48" s="808"/>
      <c r="J48" s="805"/>
      <c r="K48" s="1640"/>
      <c r="L48" s="1640"/>
      <c r="M48" s="1640"/>
      <c r="N48" s="242"/>
      <c r="O48" s="1640"/>
      <c r="P48" s="241"/>
      <c r="Q48" s="241"/>
      <c r="R48" s="241"/>
      <c r="S48" s="241"/>
      <c r="T48" s="1835"/>
      <c r="U48" s="1835"/>
      <c r="V48" s="1835"/>
      <c r="W48" s="1835"/>
      <c r="X48" s="1835"/>
      <c r="Y48" s="1835"/>
      <c r="Z48" s="1835"/>
      <c r="AA48" s="1835"/>
      <c r="AB48" s="1835"/>
      <c r="AC48" s="1835"/>
    </row>
    <row customHeight="1" ht="15">
      <c r="A49" s="2233"/>
      <c r="B49" s="1176">
        <v>1</v>
      </c>
      <c r="C49" s="1176"/>
      <c r="D49" s="816"/>
      <c r="E49" s="1829" t="str">
        <f>A48&amp;"."&amp;B49</f>
        <v>13.1</v>
      </c>
      <c r="F49" s="819" t="s">
        <v>107</v>
      </c>
      <c r="G49" s="809" t="s">
        <v>160</v>
      </c>
      <c r="H49" s="809" t="s">
        <v>160</v>
      </c>
      <c r="I49" s="807" t="s">
        <v>161</v>
      </c>
      <c r="J49" s="1640"/>
      <c r="K49" s="1652"/>
      <c r="L49" s="1652"/>
      <c r="M49" s="1640" t="str">
        <f t="array" ref="M49:M49">IF(ISERROR(MATCH(MID(N49,1,250),MID(note_ter,1,250),0)),"n","y")</f>
        <v>n</v>
      </c>
      <c r="N49" s="1652"/>
      <c r="O49" s="1640" t="str">
        <f>H49&amp;"("&amp;I49&amp;")"</f>
        <v>Арсеньевский городской округ(05703000)</v>
      </c>
      <c r="P49" s="1176"/>
      <c r="Q49" s="1176"/>
      <c r="R49" s="436"/>
      <c r="S49" s="1176"/>
      <c r="T49" s="1176"/>
      <c r="U49" s="1176"/>
      <c r="V49" s="438"/>
      <c r="W49" s="438"/>
      <c r="X49" s="435"/>
      <c r="Y49" s="435"/>
      <c r="Z49" s="435"/>
      <c r="AA49" s="435"/>
      <c r="AB49" s="435"/>
      <c r="AC49" s="435"/>
    </row>
    <row customHeight="1" ht="15">
      <c r="A50" s="2233"/>
      <c r="B50" s="1176"/>
      <c r="C50" s="428"/>
      <c r="D50" s="817"/>
      <c r="E50" s="437"/>
      <c r="F50" s="193"/>
      <c r="G50" s="431" t="s">
        <v>106</v>
      </c>
      <c r="H50" s="203"/>
      <c r="I50" s="440"/>
      <c r="J50" s="1652"/>
      <c r="K50" s="1652"/>
      <c r="L50" s="1652"/>
      <c r="M50" s="1652"/>
      <c r="N50" s="1640"/>
      <c r="O50" s="1652"/>
      <c r="P50" s="1176"/>
      <c r="Q50" s="1176"/>
      <c r="R50" s="436"/>
      <c r="S50" s="1176"/>
      <c r="T50" s="1176"/>
      <c r="U50" s="1176"/>
      <c r="V50" s="438"/>
      <c r="W50" s="438"/>
      <c r="X50" s="435"/>
      <c r="Y50" s="435"/>
      <c r="Z50" s="435"/>
      <c r="AA50" s="435"/>
      <c r="AB50" s="435"/>
      <c r="AC50" s="435"/>
    </row>
    <row customHeight="1" ht="15">
      <c r="A51" s="2233" t="s">
        <v>162</v>
      </c>
      <c r="B51" s="1176"/>
      <c r="C51" s="817" t="s">
        <v>108</v>
      </c>
      <c r="D51" s="1834"/>
      <c r="E51" s="1821" t="str">
        <f>A51</f>
        <v>14</v>
      </c>
      <c r="F51" s="820" t="s">
        <v>163</v>
      </c>
      <c r="G51" s="556" t="str">
        <f>"Территория "&amp;E51</f>
        <v>Территория 14</v>
      </c>
      <c r="H51" s="808"/>
      <c r="I51" s="808"/>
      <c r="J51" s="805"/>
      <c r="K51" s="1640"/>
      <c r="L51" s="1640"/>
      <c r="M51" s="1640"/>
      <c r="N51" s="242"/>
      <c r="O51" s="1640"/>
      <c r="P51" s="241"/>
      <c r="Q51" s="241"/>
      <c r="R51" s="241"/>
      <c r="S51" s="241"/>
      <c r="T51" s="1835"/>
      <c r="U51" s="1835"/>
      <c r="V51" s="1835"/>
      <c r="W51" s="1835"/>
      <c r="X51" s="1835"/>
      <c r="Y51" s="1835"/>
      <c r="Z51" s="1835"/>
      <c r="AA51" s="1835"/>
      <c r="AB51" s="1835"/>
      <c r="AC51" s="1835"/>
    </row>
    <row customHeight="1" ht="15">
      <c r="A52" s="2233"/>
      <c r="B52" s="1176">
        <v>1</v>
      </c>
      <c r="C52" s="1176"/>
      <c r="D52" s="816"/>
      <c r="E52" s="1829" t="str">
        <f>A51&amp;"."&amp;B52</f>
        <v>14.1</v>
      </c>
      <c r="F52" s="819" t="s">
        <v>164</v>
      </c>
      <c r="G52" s="809" t="s">
        <v>165</v>
      </c>
      <c r="H52" s="809" t="s">
        <v>165</v>
      </c>
      <c r="I52" s="807" t="s">
        <v>166</v>
      </c>
      <c r="J52" s="1640"/>
      <c r="K52" s="1652"/>
      <c r="L52" s="1652"/>
      <c r="M52" s="1640" t="str">
        <f t="array" ref="M52:M52">IF(ISERROR(MATCH(MID(N52,1,250),MID(note_ter,1,250),0)),"n","y")</f>
        <v>n</v>
      </c>
      <c r="N52" s="1652"/>
      <c r="O52" s="1640" t="str">
        <f>H52&amp;"("&amp;I52&amp;")"</f>
        <v>Партизанский городской округ(05717000)</v>
      </c>
      <c r="P52" s="1176"/>
      <c r="Q52" s="1176"/>
      <c r="R52" s="436"/>
      <c r="S52" s="1176"/>
      <c r="T52" s="1176"/>
      <c r="U52" s="1176"/>
      <c r="V52" s="438"/>
      <c r="W52" s="438"/>
      <c r="X52" s="435"/>
      <c r="Y52" s="435"/>
      <c r="Z52" s="435"/>
      <c r="AA52" s="435"/>
      <c r="AB52" s="435"/>
      <c r="AC52" s="435"/>
    </row>
    <row customHeight="1" ht="15">
      <c r="A53" s="2233"/>
      <c r="B53" s="1176"/>
      <c r="C53" s="428"/>
      <c r="D53" s="817"/>
      <c r="E53" s="437"/>
      <c r="F53" s="193"/>
      <c r="G53" s="431" t="s">
        <v>106</v>
      </c>
      <c r="H53" s="203"/>
      <c r="I53" s="440"/>
      <c r="J53" s="1652"/>
      <c r="K53" s="1652"/>
      <c r="L53" s="1652"/>
      <c r="M53" s="1652"/>
      <c r="N53" s="1640"/>
      <c r="O53" s="1652"/>
      <c r="P53" s="1176"/>
      <c r="Q53" s="1176"/>
      <c r="R53" s="436"/>
      <c r="S53" s="1176"/>
      <c r="T53" s="1176"/>
      <c r="U53" s="1176"/>
      <c r="V53" s="438"/>
      <c r="W53" s="438"/>
      <c r="X53" s="435"/>
      <c r="Y53" s="435"/>
      <c r="Z53" s="435"/>
      <c r="AA53" s="435"/>
      <c r="AB53" s="435"/>
      <c r="AC53" s="435"/>
    </row>
    <row customHeight="1" ht="15">
      <c r="A54" s="2233" t="s">
        <v>167</v>
      </c>
      <c r="B54" s="1176"/>
      <c r="C54" s="817" t="s">
        <v>108</v>
      </c>
      <c r="D54" s="1834"/>
      <c r="E54" s="1821" t="str">
        <f>A54</f>
        <v>15</v>
      </c>
      <c r="F54" s="820" t="s">
        <v>168</v>
      </c>
      <c r="G54" s="556" t="str">
        <f>"Территория "&amp;E54</f>
        <v>Территория 15</v>
      </c>
      <c r="H54" s="808"/>
      <c r="I54" s="808"/>
      <c r="J54" s="805"/>
      <c r="K54" s="1640"/>
      <c r="L54" s="1640"/>
      <c r="M54" s="1640"/>
      <c r="N54" s="242"/>
      <c r="O54" s="1640"/>
      <c r="P54" s="241"/>
      <c r="Q54" s="241"/>
      <c r="R54" s="241"/>
      <c r="S54" s="241"/>
      <c r="T54" s="1835"/>
      <c r="U54" s="1835"/>
      <c r="V54" s="1835"/>
      <c r="W54" s="1835"/>
      <c r="X54" s="1835"/>
      <c r="Y54" s="1835"/>
      <c r="Z54" s="1835"/>
      <c r="AA54" s="1835"/>
      <c r="AB54" s="1835"/>
      <c r="AC54" s="1835"/>
    </row>
    <row customHeight="1" ht="15">
      <c r="A55" s="2233"/>
      <c r="B55" s="1176">
        <v>1</v>
      </c>
      <c r="C55" s="1176"/>
      <c r="D55" s="816"/>
      <c r="E55" s="1829" t="str">
        <f>A54&amp;"."&amp;B55</f>
        <v>15.1</v>
      </c>
      <c r="F55" s="819" t="s">
        <v>169</v>
      </c>
      <c r="G55" s="809" t="s">
        <v>170</v>
      </c>
      <c r="H55" s="809" t="s">
        <v>170</v>
      </c>
      <c r="I55" s="807" t="s">
        <v>171</v>
      </c>
      <c r="J55" s="1640"/>
      <c r="K55" s="1652"/>
      <c r="L55" s="1652"/>
      <c r="M55" s="1640" t="str">
        <f t="array" ref="M55:M55">IF(ISERROR(MATCH(MID(N55,1,250),MID(note_ter,1,250),0)),"n","y")</f>
        <v>n</v>
      </c>
      <c r="N55" s="1652"/>
      <c r="O55" s="1640" t="str">
        <f>H55&amp;"("&amp;I55&amp;")"</f>
        <v>Партизанский муниципальный округ(05530000)</v>
      </c>
      <c r="P55" s="1176"/>
      <c r="Q55" s="1176"/>
      <c r="R55" s="436"/>
      <c r="S55" s="1176"/>
      <c r="T55" s="1176"/>
      <c r="U55" s="1176"/>
      <c r="V55" s="438"/>
      <c r="W55" s="438"/>
      <c r="X55" s="435"/>
      <c r="Y55" s="435"/>
      <c r="Z55" s="435"/>
      <c r="AA55" s="435"/>
      <c r="AB55" s="435"/>
      <c r="AC55" s="435"/>
    </row>
    <row customHeight="1" ht="15">
      <c r="A56" s="2233"/>
      <c r="B56" s="1176"/>
      <c r="C56" s="428"/>
      <c r="D56" s="817"/>
      <c r="E56" s="437"/>
      <c r="F56" s="193"/>
      <c r="G56" s="431" t="s">
        <v>106</v>
      </c>
      <c r="H56" s="203"/>
      <c r="I56" s="440"/>
      <c r="J56" s="1652"/>
      <c r="K56" s="1652"/>
      <c r="L56" s="1652"/>
      <c r="M56" s="1652"/>
      <c r="N56" s="1640"/>
      <c r="O56" s="1652"/>
      <c r="P56" s="1176"/>
      <c r="Q56" s="1176"/>
      <c r="R56" s="436"/>
      <c r="S56" s="1176"/>
      <c r="T56" s="1176"/>
      <c r="U56" s="1176"/>
      <c r="V56" s="438"/>
      <c r="W56" s="438"/>
      <c r="X56" s="435"/>
      <c r="Y56" s="435"/>
      <c r="Z56" s="435"/>
      <c r="AA56" s="435"/>
      <c r="AB56" s="435"/>
      <c r="AC56" s="435"/>
    </row>
    <row customHeight="1" ht="15">
      <c r="A57" s="2233" t="s">
        <v>114</v>
      </c>
      <c r="B57" s="1176"/>
      <c r="C57" s="817" t="s">
        <v>108</v>
      </c>
      <c r="D57" s="1834"/>
      <c r="E57" s="1821" t="str">
        <f>A57</f>
        <v>16</v>
      </c>
      <c r="F57" s="820" t="s">
        <v>172</v>
      </c>
      <c r="G57" s="556" t="str">
        <f>"Территория "&amp;E57</f>
        <v>Территория 16</v>
      </c>
      <c r="H57" s="808"/>
      <c r="I57" s="808"/>
      <c r="J57" s="805"/>
      <c r="K57" s="1640"/>
      <c r="L57" s="1640"/>
      <c r="M57" s="1640"/>
      <c r="N57" s="242"/>
      <c r="O57" s="1640"/>
      <c r="P57" s="241"/>
      <c r="Q57" s="241"/>
      <c r="R57" s="241"/>
      <c r="S57" s="241"/>
      <c r="T57" s="1835"/>
      <c r="U57" s="1835"/>
      <c r="V57" s="1835"/>
      <c r="W57" s="1835"/>
      <c r="X57" s="1835"/>
      <c r="Y57" s="1835"/>
      <c r="Z57" s="1835"/>
      <c r="AA57" s="1835"/>
      <c r="AB57" s="1835"/>
      <c r="AC57" s="1835"/>
    </row>
    <row customHeight="1" ht="15">
      <c r="A58" s="2233"/>
      <c r="B58" s="1176">
        <v>1</v>
      </c>
      <c r="C58" s="1176"/>
      <c r="D58" s="816"/>
      <c r="E58" s="1829" t="str">
        <f>A57&amp;"."&amp;B58</f>
        <v>16.1</v>
      </c>
      <c r="F58" s="819" t="s">
        <v>173</v>
      </c>
      <c r="G58" s="809" t="s">
        <v>174</v>
      </c>
      <c r="H58" s="809" t="s">
        <v>174</v>
      </c>
      <c r="I58" s="807" t="s">
        <v>175</v>
      </c>
      <c r="J58" s="1640"/>
      <c r="K58" s="1652"/>
      <c r="L58" s="1652"/>
      <c r="M58" s="1640" t="str">
        <f t="array" ref="M58:M58">IF(ISERROR(MATCH(MID(N58,1,250),MID(note_ter,1,250),0)),"n","y")</f>
        <v>n</v>
      </c>
      <c r="N58" s="1652"/>
      <c r="O58" s="1640" t="str">
        <f>H58&amp;"("&amp;I58&amp;")"</f>
        <v>Красноармейский муниципальный округ(05514000)</v>
      </c>
      <c r="P58" s="1176"/>
      <c r="Q58" s="1176"/>
      <c r="R58" s="436"/>
      <c r="S58" s="1176"/>
      <c r="T58" s="1176"/>
      <c r="U58" s="1176"/>
      <c r="V58" s="438"/>
      <c r="W58" s="438"/>
      <c r="X58" s="435"/>
      <c r="Y58" s="435"/>
      <c r="Z58" s="435"/>
      <c r="AA58" s="435"/>
      <c r="AB58" s="435"/>
      <c r="AC58" s="435"/>
    </row>
    <row customHeight="1" ht="15">
      <c r="A59" s="2233"/>
      <c r="B59" s="1176"/>
      <c r="C59" s="428"/>
      <c r="D59" s="817"/>
      <c r="E59" s="437"/>
      <c r="F59" s="193"/>
      <c r="G59" s="431" t="s">
        <v>106</v>
      </c>
      <c r="H59" s="203"/>
      <c r="I59" s="440"/>
      <c r="J59" s="1652"/>
      <c r="K59" s="1652"/>
      <c r="L59" s="1652"/>
      <c r="M59" s="1652"/>
      <c r="N59" s="1640"/>
      <c r="O59" s="1652"/>
      <c r="P59" s="1176"/>
      <c r="Q59" s="1176"/>
      <c r="R59" s="436"/>
      <c r="S59" s="1176"/>
      <c r="T59" s="1176"/>
      <c r="U59" s="1176"/>
      <c r="V59" s="438"/>
      <c r="W59" s="438"/>
      <c r="X59" s="435"/>
      <c r="Y59" s="435"/>
      <c r="Z59" s="435"/>
      <c r="AA59" s="435"/>
      <c r="AB59" s="435"/>
      <c r="AC59" s="435"/>
    </row>
    <row s="1835" customFormat="1" customHeight="1" ht="14.699999999999998">
      <c r="A60" s="774"/>
      <c r="B60" s="433"/>
      <c r="C60" s="774"/>
      <c r="D60" s="798"/>
      <c r="E60" s="810"/>
      <c r="F60" s="194"/>
      <c r="G60" s="432" t="s">
        <v>176</v>
      </c>
      <c r="H60" s="194"/>
      <c r="I60" s="195"/>
      <c r="J60" s="265"/>
      <c r="K60" s="171"/>
      <c r="L60" s="171"/>
      <c r="M60" s="171"/>
      <c r="N60" s="242" t="s">
        <v>177</v>
      </c>
      <c r="O60" s="171"/>
      <c r="P60" s="241"/>
      <c r="Q60" s="241"/>
      <c r="R60" s="241"/>
      <c r="S60" s="241"/>
      <c r="AC60" s="132">
        <v>14</v>
      </c>
    </row>
    <row s="1835" customFormat="1" customHeight="1" ht="22.049999999999997">
      <c r="A61" s="774"/>
      <c r="B61" s="433"/>
      <c r="C61" s="774"/>
      <c r="D61" s="181"/>
      <c r="E61" s="196"/>
      <c r="F61" s="196"/>
      <c r="G61" s="196"/>
      <c r="H61" s="196"/>
      <c r="I61" s="196"/>
      <c r="J61" s="171"/>
      <c r="K61" s="171"/>
      <c r="L61" s="171"/>
      <c r="M61" s="171"/>
      <c r="N61" s="242"/>
      <c r="O61" s="171"/>
      <c r="P61" s="241"/>
      <c r="Q61" s="241"/>
      <c r="R61" s="241"/>
      <c r="S61" s="241"/>
      <c r="AC61" s="132">
        <v>21</v>
      </c>
    </row>
    <row s="1835" customFormat="1" customHeight="1" ht="14.699999999999998">
      <c r="A62" s="774"/>
      <c r="B62" s="433"/>
      <c r="C62" s="774"/>
      <c r="D62" s="181"/>
      <c r="E62" s="99"/>
      <c r="F62" s="774"/>
      <c r="G62" s="99"/>
      <c r="H62" s="99"/>
      <c r="I62" s="99"/>
      <c r="J62" s="171"/>
      <c r="K62" s="171"/>
      <c r="L62" s="171"/>
      <c r="M62" s="171"/>
      <c r="N62" s="242"/>
      <c r="O62" s="171"/>
      <c r="P62" s="241"/>
      <c r="Q62" s="241"/>
      <c r="R62" s="241"/>
      <c r="S62" s="241"/>
      <c r="AC62" s="132">
        <v>14</v>
      </c>
    </row>
    <row s="1835" customFormat="1" customHeight="1" ht="1.05">
      <c r="A63" s="774"/>
      <c r="B63" s="433"/>
      <c r="C63" s="774"/>
      <c r="D63" s="181"/>
      <c r="E63" s="99"/>
      <c r="F63" s="774"/>
      <c r="G63" s="99"/>
      <c r="H63" s="99"/>
      <c r="I63" s="99"/>
      <c r="J63" s="171"/>
      <c r="K63" s="171"/>
      <c r="L63" s="171"/>
      <c r="M63" s="171"/>
      <c r="N63" s="242"/>
      <c r="O63" s="171"/>
      <c r="P63" s="241"/>
      <c r="Q63" s="241"/>
      <c r="R63" s="241"/>
      <c r="S63" s="241"/>
      <c r="AC63" s="132">
        <v>1</v>
      </c>
    </row>
    <row s="1080" customFormat="1" customHeight="1" ht="10.5">
      <c r="B64" s="850"/>
      <c r="D64" s="198"/>
      <c r="J64" s="171"/>
      <c r="K64" s="171"/>
      <c r="L64" s="171"/>
      <c r="M64" s="171"/>
      <c r="N64" s="242"/>
      <c r="O64" s="171"/>
      <c r="P64" s="241"/>
      <c r="Q64" s="241"/>
      <c r="R64" s="241"/>
      <c r="S64" s="241"/>
      <c r="AC64" s="197">
        <v>10</v>
      </c>
    </row>
    <row s="1080" customFormat="1" customHeight="1" ht="10.5">
      <c r="B65" s="850"/>
      <c r="D65" s="198"/>
      <c r="J65" s="171"/>
      <c r="K65" s="171"/>
      <c r="L65" s="171"/>
      <c r="M65" s="171"/>
      <c r="N65" s="242"/>
      <c r="O65" s="171"/>
      <c r="P65" s="241"/>
      <c r="Q65" s="241"/>
      <c r="R65" s="241"/>
      <c r="S65" s="241"/>
      <c r="AC65" s="197">
        <v>10</v>
      </c>
    </row>
    <row customHeight="1" ht="14.699999999999998">
      <c r="AC66" s="99">
        <v>14</v>
      </c>
    </row>
    <row customHeight="1" ht="14.699999999999998">
      <c r="AC67" s="99">
        <v>14</v>
      </c>
    </row>
    <row customHeight="1" ht="14.699999999999998">
      <c r="AC68" s="99">
        <v>14</v>
      </c>
    </row>
    <row customHeight="1" ht="14.699999999999998">
      <c r="H69" s="80"/>
      <c r="AC69" s="99">
        <v>14</v>
      </c>
    </row>
    <row customHeight="1" ht="14.699999999999998">
      <c r="AC70" s="99">
        <v>14</v>
      </c>
    </row>
    <row customHeight="1" ht="14.699999999999998">
      <c r="AC71" s="99">
        <v>14</v>
      </c>
    </row>
    <row customHeight="1" ht="14.699999999999998">
      <c r="AC72" s="99">
        <v>14</v>
      </c>
    </row>
    <row customHeight="1" ht="14.699999999999998">
      <c r="J73" s="99"/>
      <c r="K73" s="99"/>
      <c r="L73" s="99"/>
      <c r="AC73" s="99">
        <v>14</v>
      </c>
    </row>
    <row customHeight="1" ht="22.5" hidden="1">
      <c r="A74" s="774" t="s">
        <v>85</v>
      </c>
      <c r="B74" s="433">
        <v>0</v>
      </c>
      <c r="C74" s="774">
        <v>3</v>
      </c>
      <c r="D74" s="181">
        <v>3</v>
      </c>
      <c r="E74" s="99">
        <v>6</v>
      </c>
      <c r="F74" s="774">
        <v>0</v>
      </c>
      <c r="G74" s="99">
        <v>46</v>
      </c>
      <c r="H74" s="99">
        <v>42</v>
      </c>
      <c r="I74" s="99">
        <v>14</v>
      </c>
      <c r="J74" s="171">
        <v>3</v>
      </c>
      <c r="K74" s="171">
        <v>0</v>
      </c>
      <c r="L74" s="171">
        <v>0</v>
      </c>
      <c r="M74" s="171">
        <v>0</v>
      </c>
      <c r="N74" s="242">
        <v>0</v>
      </c>
      <c r="O74" s="171">
        <v>0</v>
      </c>
      <c r="P74" s="241">
        <v>0</v>
      </c>
      <c r="Q74" s="241">
        <v>0</v>
      </c>
      <c r="R74" s="241">
        <v>0</v>
      </c>
      <c r="S74" s="241">
        <v>0</v>
      </c>
      <c r="T74" s="99">
        <v>0</v>
      </c>
      <c r="U74" s="99">
        <v>0</v>
      </c>
      <c r="V74" s="99">
        <v>0</v>
      </c>
      <c r="W74" s="99">
        <v>0</v>
      </c>
      <c r="X74" s="99">
        <v>0</v>
      </c>
      <c r="Y74" s="99">
        <v>0</v>
      </c>
      <c r="Z74" s="99">
        <v>0</v>
      </c>
      <c r="AA74" s="99">
        <v>0</v>
      </c>
      <c r="AB74" s="99">
        <v>8</v>
      </c>
      <c r="AC74" s="99">
        <v>23</v>
      </c>
    </row>
  </sheetData>
  <sheetProtection formatColumns="0" formatRows="0" autoFilter="0" sort="0" insertRows="0" insertColumns="1" deleteRows="0" deleteColumns="0"/>
  <mergeCells count="19">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s>
  <dataValidations count="16">
    <dataValidation type="textLength" operator="lessThanOrEqual" allowBlank="1" showInputMessage="1" showErrorMessage="1" errorTitle="Ошибка" error="Допускается ввод не более 900 символов!" sqref="G57">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4F474-7CBE-B858-B166-E4AC97CD82C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8" style="1651" width="19.7109375" hidden="1" customWidth="1"/>
    <col min="29" max="29" style="1651" width="11.7109375" hidden="1" customWidth="1"/>
    <col min="30" max="30" style="1651" width="3.7109375" hidden="1" customWidth="1"/>
    <col min="31" max="31" style="1651" width="11.7109375" hidden="1" customWidth="1"/>
    <col min="32" max="32" style="1651" width="8.57421875" hidden="1" customWidth="1"/>
    <col min="33" max="33" style="1651" width="19.7109375" customWidth="1"/>
    <col min="34" max="39" style="1651" width="19.00390625" customWidth="1"/>
    <col min="40" max="40" style="1651" width="11.00390625" customWidth="1"/>
    <col min="41" max="41" style="1651" width="3.7109375" customWidth="1"/>
    <col min="42" max="42" style="1651" width="11.00390625" customWidth="1"/>
    <col min="43" max="43" style="1651" width="8.57421875" hidden="1" customWidth="1"/>
    <col min="44" max="44" style="1651" width="4.00390625" customWidth="1"/>
    <col min="45" max="45" style="1651" width="115.00390625" customWidth="1"/>
    <col min="46" max="50" style="1658" width="10.00390625" customWidth="1"/>
    <col min="51" max="51" style="1651" width="10.57421875" hidden="1"/>
  </cols>
  <sheetData>
    <row customHeight="1" ht="22.5" hidden="1">
      <c r="AC1" s="343"/>
      <c r="AN1" s="343"/>
      <c r="AY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509">
        <f>INDEX(PT_DIFFERENTIATION_NUM_NTAR,MATCH(A2,PT_DIFFERENTIATION_NTAR_ID,0))</f>
      </c>
      <c r="T2" s="314" t="s">
        <v>192</v>
      </c>
      <c r="U2" s="316"/>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6"/>
      <c r="AV2" s="516" t="str">
        <f>IF(T2="","",T2)</f>
        <v>Наименование тарифа</v>
      </c>
      <c r="AW2" s="516"/>
      <c r="AX2" s="516"/>
      <c r="AY2" s="1171">
        <v>0</v>
      </c>
    </row>
    <row customHeight="1" ht="23.25" hidden="1">
      <c r="A3" s="1379"/>
      <c r="B3" s="1379"/>
      <c r="C3" s="1379"/>
      <c r="D3" s="1379"/>
      <c r="E3" s="2275"/>
      <c r="F3" s="2274">
        <v>1</v>
      </c>
      <c r="G3" s="1379"/>
      <c r="H3" s="1379"/>
      <c r="I3" s="1379"/>
      <c r="J3" s="1379"/>
      <c r="K3" s="1379"/>
      <c r="L3" s="1380"/>
      <c r="M3" s="1381"/>
      <c r="N3" s="1381"/>
      <c r="O3" s="1381"/>
      <c r="P3" s="1503"/>
      <c r="Q3" s="368"/>
      <c r="R3" s="369"/>
      <c r="S3" s="1509">
        <f>INDEX(PT_DIFFERENTIATION_NUM_TER,MATCH(B3,PT_DIFFERENTIATION_TER_ID,0))</f>
      </c>
      <c r="T3" s="324" t="s">
        <v>550</v>
      </c>
      <c r="U3" s="316"/>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74" t="s">
        <v>551</v>
      </c>
      <c r="AU3" s="516"/>
      <c r="AV3" s="516" t="str">
        <f>IF(T3="","",T3)</f>
        <v>Территория действия тарифа</v>
      </c>
      <c r="AW3" s="516"/>
      <c r="AX3" s="516"/>
      <c r="AY3" s="1171">
        <v>0</v>
      </c>
    </row>
    <row customHeight="1" ht="23.25" hidden="1">
      <c r="A4" s="1379"/>
      <c r="B4" s="1379"/>
      <c r="C4" s="1379"/>
      <c r="D4" s="1379"/>
      <c r="E4" s="2275"/>
      <c r="F4" s="2275"/>
      <c r="G4" s="2274">
        <v>1</v>
      </c>
      <c r="H4" s="1379"/>
      <c r="I4" s="1379"/>
      <c r="J4" s="1379"/>
      <c r="K4" s="1379"/>
      <c r="L4" s="1380"/>
      <c r="M4" s="1381"/>
      <c r="N4" s="1381"/>
      <c r="O4" s="1381"/>
      <c r="P4" s="370"/>
      <c r="Q4" s="368"/>
      <c r="R4" s="369"/>
      <c r="S4" s="1509">
        <f>INDEX(PT_DIFFERENTIATION_NUM_CS,MATCH(C4,PT_DIFFERENTIATION_CS_ID,0))</f>
      </c>
      <c r="T4" s="325" t="s">
        <v>683</v>
      </c>
      <c r="U4" s="316"/>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74" t="s">
        <v>684</v>
      </c>
      <c r="AU4" s="516"/>
      <c r="AV4" s="516" t="str">
        <f>IF(T4="","",T4)</f>
        <v>Наименование централизованной системы горячего водоснабжения</v>
      </c>
      <c r="AW4" s="516"/>
      <c r="AX4" s="516"/>
      <c r="AY4" s="1171">
        <v>0</v>
      </c>
    </row>
    <row customHeight="1" ht="23.25" hidden="1">
      <c r="A5" s="1379"/>
      <c r="B5" s="1379"/>
      <c r="C5" s="1379"/>
      <c r="D5" s="1379"/>
      <c r="E5" s="2275"/>
      <c r="F5" s="2275"/>
      <c r="G5" s="2275"/>
      <c r="H5" s="2275"/>
      <c r="I5" s="2272">
        <f>S4&amp;".1"</f>
      </c>
      <c r="J5" s="1379"/>
      <c r="K5" s="1379"/>
      <c r="L5" s="1380"/>
      <c r="P5" s="2273">
        <v>1</v>
      </c>
      <c r="Q5" s="1497"/>
      <c r="R5" s="372"/>
      <c r="S5" s="1509">
        <f>$I5</f>
      </c>
      <c r="T5" s="301" t="s">
        <v>636</v>
      </c>
      <c r="U5" s="316"/>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74" t="s">
        <v>637</v>
      </c>
      <c r="AU5" s="516"/>
      <c r="AV5" s="516" t="str">
        <f>IF(T5="","",T5)</f>
        <v>Наименование признака дифференциации</v>
      </c>
      <c r="AW5" s="516"/>
      <c r="AX5" s="516"/>
      <c r="AY5" s="1171">
        <v>0</v>
      </c>
    </row>
    <row customHeight="1" ht="23.25" hidden="1">
      <c r="A6" s="1379"/>
      <c r="B6" s="1379"/>
      <c r="C6" s="1379"/>
      <c r="D6" s="1379"/>
      <c r="E6" s="2275"/>
      <c r="F6" s="2275"/>
      <c r="G6" s="2275"/>
      <c r="H6" s="2275"/>
      <c r="I6" s="2302"/>
      <c r="J6" s="2272">
        <f>I5&amp;".1"</f>
      </c>
      <c r="K6" s="1379"/>
      <c r="L6" s="1380" t="s">
        <v>559</v>
      </c>
      <c r="P6" s="2273"/>
      <c r="Q6" s="2273">
        <v>1</v>
      </c>
      <c r="R6" s="373"/>
      <c r="S6" s="1509">
        <f>$J6</f>
      </c>
      <c r="T6" s="302" t="s">
        <v>560</v>
      </c>
      <c r="U6" s="316"/>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23" t="s">
        <v>638</v>
      </c>
      <c r="AU6" s="516"/>
      <c r="AV6" s="516" t="str">
        <f>IF(T6="","",T6)</f>
        <v>Группа потребителей</v>
      </c>
      <c r="AW6" s="516"/>
      <c r="AX6" s="516"/>
      <c r="AY6" s="1171">
        <v>0</v>
      </c>
    </row>
    <row customHeight="1" ht="23.25" hidden="1">
      <c r="A7" s="1379"/>
      <c r="B7" s="1379"/>
      <c r="C7" s="1379"/>
      <c r="D7" s="1379"/>
      <c r="E7" s="2275"/>
      <c r="F7" s="2275"/>
      <c r="G7" s="2275"/>
      <c r="H7" s="2275"/>
      <c r="I7" s="2302"/>
      <c r="J7" s="2302"/>
      <c r="K7" s="2272">
        <f>J6&amp;".1"</f>
      </c>
      <c r="L7" s="1380"/>
      <c r="P7" s="2273"/>
      <c r="Q7" s="2273"/>
      <c r="R7" s="373">
        <v>1</v>
      </c>
      <c r="S7" s="1509">
        <f>$K7</f>
      </c>
      <c r="T7" s="1453"/>
      <c r="U7" s="316"/>
      <c r="V7" s="767"/>
      <c r="W7" s="767"/>
      <c r="X7" s="767"/>
      <c r="Y7" s="767"/>
      <c r="Z7" s="767"/>
      <c r="AA7" s="767"/>
      <c r="AB7" s="767"/>
      <c r="AC7" s="2281"/>
      <c r="AD7" s="2123" t="s">
        <v>64</v>
      </c>
      <c r="AE7" s="2281"/>
      <c r="AF7" s="2123" t="s">
        <v>64</v>
      </c>
      <c r="AG7" s="767"/>
      <c r="AH7" s="767"/>
      <c r="AI7" s="767"/>
      <c r="AJ7" s="767"/>
      <c r="AK7" s="767"/>
      <c r="AL7" s="767"/>
      <c r="AM7" s="767"/>
      <c r="AN7" s="2281"/>
      <c r="AO7" s="2123" t="s">
        <v>64</v>
      </c>
      <c r="AP7" s="2303"/>
      <c r="AQ7" s="2123" t="s">
        <v>64</v>
      </c>
      <c r="AR7" s="1454"/>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7">
        <f>STRCHECKDATE(V8:AR8)</f>
      </c>
      <c r="AU7" s="516"/>
      <c r="AV7" s="516" t="str">
        <f>IF(T7="","",T7)</f>
        <v/>
      </c>
      <c r="AW7" s="516"/>
      <c r="AX7" s="516"/>
      <c r="AY7" s="1171">
        <v>0</v>
      </c>
    </row>
    <row customHeight="1" ht="14.25" hidden="1">
      <c r="A8" s="1379"/>
      <c r="B8" s="1379"/>
      <c r="C8" s="1379"/>
      <c r="D8" s="1379"/>
      <c r="E8" s="2275"/>
      <c r="F8" s="2275"/>
      <c r="G8" s="2275"/>
      <c r="H8" s="2275"/>
      <c r="I8" s="2302"/>
      <c r="J8" s="2302"/>
      <c r="K8" s="2272"/>
      <c r="L8" s="1380"/>
      <c r="P8" s="2273"/>
      <c r="Q8" s="2273"/>
      <c r="R8" s="373"/>
      <c r="S8" s="1506"/>
      <c r="T8" s="316"/>
      <c r="U8" s="316"/>
      <c r="V8" s="341"/>
      <c r="W8" s="341"/>
      <c r="X8" s="341"/>
      <c r="Y8" s="341"/>
      <c r="Z8" s="341"/>
      <c r="AA8" s="341"/>
      <c r="AB8" s="341"/>
      <c r="AC8" s="2282"/>
      <c r="AD8" s="2123"/>
      <c r="AE8" s="2282"/>
      <c r="AF8" s="2123"/>
      <c r="AG8" s="341"/>
      <c r="AH8" s="341"/>
      <c r="AI8" s="341"/>
      <c r="AJ8" s="341"/>
      <c r="AK8" s="341"/>
      <c r="AL8" s="341"/>
      <c r="AM8" s="341"/>
      <c r="AN8" s="2282"/>
      <c r="AO8" s="2123"/>
      <c r="AP8" s="2304"/>
      <c r="AQ8" s="2123"/>
      <c r="AR8" s="1455"/>
      <c r="AS8" s="2365"/>
      <c r="AU8" s="516"/>
      <c r="AV8" s="516" t="str">
        <f>IF(T8="","",T8)</f>
        <v/>
      </c>
      <c r="AW8" s="516"/>
      <c r="AX8" s="516"/>
      <c r="AY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616"/>
      <c r="X9" s="616"/>
      <c r="Y9" s="616"/>
      <c r="Z9" s="616"/>
      <c r="AA9" s="616"/>
      <c r="AB9" s="616"/>
      <c r="AC9" s="383"/>
      <c r="AD9" s="383"/>
      <c r="AE9" s="383"/>
      <c r="AF9" s="383"/>
      <c r="AG9" s="383"/>
      <c r="AH9" s="616"/>
      <c r="AI9" s="616"/>
      <c r="AJ9" s="616"/>
      <c r="AK9" s="616"/>
      <c r="AL9" s="616"/>
      <c r="AM9" s="383"/>
      <c r="AN9" s="383"/>
      <c r="AO9" s="383"/>
      <c r="AP9" s="383"/>
      <c r="AQ9" s="383"/>
      <c r="AR9" s="383"/>
      <c r="AS9" s="1274" t="s">
        <v>640</v>
      </c>
      <c r="AU9" s="516"/>
      <c r="AV9" s="516" t="str">
        <f>IF(T9="","",T9)</f>
        <v>Добавить значение признака дифференциации</v>
      </c>
      <c r="AW9" s="516"/>
      <c r="AX9" s="516"/>
      <c r="AY9" s="1171">
        <v>0</v>
      </c>
    </row>
    <row customHeight="1" ht="21" hidden="1">
      <c r="A10" s="1379"/>
      <c r="B10" s="1379"/>
      <c r="C10" s="1379"/>
      <c r="D10" s="1379"/>
      <c r="E10" s="2275"/>
      <c r="F10" s="2275"/>
      <c r="G10" s="2275"/>
      <c r="H10" s="2275"/>
      <c r="I10" s="2272"/>
      <c r="J10" s="1379"/>
      <c r="K10" s="1379"/>
      <c r="L10" s="1380"/>
      <c r="P10" s="2273"/>
      <c r="Q10" s="1497"/>
      <c r="R10" s="372"/>
      <c r="S10" s="1294"/>
      <c r="T10" s="381" t="s">
        <v>565</v>
      </c>
      <c r="U10" s="383"/>
      <c r="V10" s="383"/>
      <c r="W10" s="616"/>
      <c r="X10" s="616"/>
      <c r="Y10" s="616"/>
      <c r="Z10" s="616"/>
      <c r="AA10" s="616"/>
      <c r="AB10" s="616"/>
      <c r="AC10" s="383"/>
      <c r="AD10" s="383"/>
      <c r="AE10" s="383"/>
      <c r="AF10" s="382"/>
      <c r="AG10" s="383"/>
      <c r="AH10" s="616"/>
      <c r="AI10" s="616"/>
      <c r="AJ10" s="616"/>
      <c r="AK10" s="616"/>
      <c r="AL10" s="616"/>
      <c r="AM10" s="383"/>
      <c r="AN10" s="383"/>
      <c r="AO10" s="383"/>
      <c r="AP10" s="383"/>
      <c r="AQ10" s="382"/>
      <c r="AR10" s="383"/>
      <c r="AS10" s="1456"/>
      <c r="AU10" s="516"/>
      <c r="AV10" s="516" t="str">
        <f>IF(T10="","",T10)</f>
        <v>Добавить группу потребителей</v>
      </c>
      <c r="AW10" s="516"/>
      <c r="AX10" s="516"/>
      <c r="AY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616"/>
      <c r="X11" s="616"/>
      <c r="Y11" s="616"/>
      <c r="Z11" s="616"/>
      <c r="AA11" s="616"/>
      <c r="AB11" s="616"/>
      <c r="AC11" s="383"/>
      <c r="AD11" s="383"/>
      <c r="AE11" s="383"/>
      <c r="AF11" s="382"/>
      <c r="AG11" s="383"/>
      <c r="AH11" s="616"/>
      <c r="AI11" s="616"/>
      <c r="AJ11" s="616"/>
      <c r="AK11" s="616"/>
      <c r="AL11" s="616"/>
      <c r="AM11" s="383"/>
      <c r="AN11" s="383"/>
      <c r="AO11" s="383"/>
      <c r="AP11" s="383"/>
      <c r="AQ11" s="382"/>
      <c r="AR11" s="383"/>
      <c r="AS11" s="319"/>
      <c r="AU11" s="516"/>
      <c r="AV11" s="516" t="str">
        <f>IF(T11="","",T11)</f>
        <v>Добавить наименование признака дифференциации</v>
      </c>
      <c r="AW11" s="516"/>
      <c r="AX11" s="516"/>
      <c r="AY11" s="1171">
        <v>0</v>
      </c>
    </row>
    <row s="1658" customFormat="1" customHeight="1" ht="14.25" hidden="1">
      <c r="A12" s="1359"/>
      <c r="B12" s="1359"/>
      <c r="C12" s="1330"/>
      <c r="D12" s="1330"/>
      <c r="E12" s="2275"/>
      <c r="F12" s="2274"/>
      <c r="G12" s="1330"/>
      <c r="H12" s="1330"/>
      <c r="I12" s="1330"/>
      <c r="J12" s="1330"/>
      <c r="K12" s="1330"/>
      <c r="L12" s="1510"/>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L12" s="1340"/>
      <c r="AM12" s="1340"/>
      <c r="AN12" s="1340"/>
      <c r="AO12" s="1340"/>
      <c r="AP12" s="1340"/>
      <c r="AQ12" s="1340"/>
      <c r="AR12" s="1340"/>
      <c r="AS12" s="1340"/>
      <c r="AU12" s="805"/>
      <c r="AV12" s="805" t="str">
        <f>IF(T12="","",T12)</f>
        <v>Добавить централизованную систему для дифференциации</v>
      </c>
      <c r="AW12" s="805"/>
      <c r="AX12" s="805"/>
      <c r="AY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L13" s="1340"/>
      <c r="AM13" s="1340"/>
      <c r="AN13" s="1340"/>
      <c r="AO13" s="1340"/>
      <c r="AP13" s="1340"/>
      <c r="AQ13" s="1340"/>
      <c r="AR13" s="1340"/>
      <c r="AS13" s="1340"/>
      <c r="AU13" s="516"/>
      <c r="AV13" s="516" t="str">
        <f>IF(T13="","",T13)</f>
        <v>Добавить территорию для дифференциации</v>
      </c>
      <c r="AW13" s="516"/>
      <c r="AX13" s="516"/>
      <c r="AY13" s="527">
        <v>0</v>
      </c>
    </row>
    <row customHeight="1" ht="14.25" hidden="1">
      <c r="AF14" s="343"/>
      <c r="AQ14" s="343"/>
      <c r="AY14" s="1171">
        <v>0</v>
      </c>
    </row>
    <row customHeight="1" ht="14.25" hidden="1">
      <c r="AG15" s="1376"/>
      <c r="AH15" s="1376"/>
      <c r="AI15" s="1376"/>
      <c r="AJ15" s="1376"/>
      <c r="AK15" s="1376"/>
      <c r="AL15" s="1376"/>
      <c r="AM15" s="1376"/>
      <c r="AN15" s="2283"/>
      <c r="AO15" s="2284" t="s">
        <v>64</v>
      </c>
      <c r="AP15" s="2283"/>
      <c r="AQ15" s="2284" t="s">
        <v>64</v>
      </c>
      <c r="AY15" s="1171">
        <v>0</v>
      </c>
    </row>
    <row customHeight="1" ht="14.25" hidden="1">
      <c r="AG16" s="1376"/>
      <c r="AH16" s="1376"/>
      <c r="AI16" s="1376"/>
      <c r="AJ16" s="1376"/>
      <c r="AK16" s="1376"/>
      <c r="AL16" s="1376"/>
      <c r="AM16" s="1376"/>
      <c r="AN16" s="2284"/>
      <c r="AO16" s="2284"/>
      <c r="AP16" s="2284"/>
      <c r="AQ16" s="2284"/>
      <c r="AY16" s="1171">
        <v>0</v>
      </c>
    </row>
    <row customHeight="1" ht="14.25" hidden="1">
      <c r="AQ17" s="343"/>
      <c r="AY17" s="1171">
        <v>0</v>
      </c>
    </row>
    <row s="1382" customFormat="1" customHeight="1" ht="22.5" hidden="1">
      <c r="L18" s="1494"/>
      <c r="M18" s="1378"/>
      <c r="N18" s="1378"/>
      <c r="O18" s="1383" t="s">
        <v>567</v>
      </c>
      <c r="P18" s="1378"/>
      <c r="Q18" s="1387"/>
      <c r="R18" s="1387"/>
      <c r="S18" s="745"/>
      <c r="W18" s="1382"/>
      <c r="X18" s="1382"/>
      <c r="Y18" s="1382"/>
      <c r="Z18" s="1382"/>
      <c r="AA18" s="1382"/>
      <c r="AB18" s="1382"/>
      <c r="AC18" s="1383"/>
      <c r="AE18" s="1383"/>
      <c r="AF18" s="1382"/>
      <c r="AH18" s="1382"/>
      <c r="AI18" s="1382"/>
      <c r="AJ18" s="1382"/>
      <c r="AK18" s="1382"/>
      <c r="AL18" s="1382"/>
      <c r="AN18" s="1383"/>
      <c r="AP18" s="1383"/>
      <c r="AQ18" s="1382"/>
      <c r="AT18" s="527"/>
      <c r="AU18" s="527"/>
      <c r="AV18" s="527"/>
      <c r="AW18" s="527"/>
      <c r="AX18" s="527"/>
      <c r="AY18" s="1176">
        <v>0</v>
      </c>
    </row>
    <row s="1382" customFormat="1" customHeight="1" ht="14.25" hidden="1">
      <c r="L19" s="1494"/>
      <c r="M19" s="1378"/>
      <c r="N19" s="1378"/>
      <c r="O19" s="1378"/>
      <c r="P19" s="1378"/>
      <c r="Q19" s="1387"/>
      <c r="R19" s="1387"/>
      <c r="S19" s="745"/>
      <c r="W19" s="1382"/>
      <c r="X19" s="1382"/>
      <c r="Y19" s="1382"/>
      <c r="Z19" s="1382"/>
      <c r="AA19" s="1382"/>
      <c r="AB19" s="1382"/>
      <c r="AF19" s="1382"/>
      <c r="AH19" s="1382"/>
      <c r="AI19" s="1382"/>
      <c r="AJ19" s="1382"/>
      <c r="AK19" s="1382"/>
      <c r="AL19" s="1382"/>
      <c r="AQ19" s="1382"/>
      <c r="AT19" s="527"/>
      <c r="AU19" s="527"/>
      <c r="AV19" s="527"/>
      <c r="AW19" s="527"/>
      <c r="AX19" s="527"/>
      <c r="AY19" s="1176">
        <v>0</v>
      </c>
    </row>
    <row s="1382" customFormat="1" customHeight="1" ht="12" hidden="1">
      <c r="L20" s="1494"/>
      <c r="M20" s="1378"/>
      <c r="N20" s="1378"/>
      <c r="O20" s="1380" t="s">
        <v>568</v>
      </c>
      <c r="P20" s="1378"/>
      <c r="Q20" s="1458"/>
      <c r="R20" s="1458"/>
      <c r="S20" s="745"/>
      <c r="T20" s="1176" t="s">
        <v>569</v>
      </c>
      <c r="W20" s="1382"/>
      <c r="X20" s="1382"/>
      <c r="Y20" s="1382"/>
      <c r="Z20" s="1382"/>
      <c r="AA20" s="1382"/>
      <c r="AB20" s="1382"/>
      <c r="AD20" s="202" t="s">
        <v>570</v>
      </c>
      <c r="AF20" s="202" t="s">
        <v>571</v>
      </c>
      <c r="AG20" s="1176" t="s">
        <v>569</v>
      </c>
      <c r="AH20" s="1382"/>
      <c r="AI20" s="1382"/>
      <c r="AJ20" s="1382"/>
      <c r="AK20" s="1382"/>
      <c r="AL20" s="1382"/>
      <c r="AO20" s="202" t="s">
        <v>572</v>
      </c>
      <c r="AQ20" s="202" t="s">
        <v>571</v>
      </c>
      <c r="AY20" s="1176">
        <v>0</v>
      </c>
    </row>
    <row customHeight="1" ht="14.25" hidden="1">
      <c r="O21" s="1380"/>
      <c r="AY21" s="1171">
        <v>0</v>
      </c>
    </row>
    <row customHeight="1" ht="14.25" hidden="1">
      <c r="O22" s="1380"/>
      <c r="AY22" s="1171">
        <v>0</v>
      </c>
    </row>
    <row customHeight="1" ht="14.699999999999998">
      <c r="Q23" s="392"/>
      <c r="R23" s="392"/>
      <c r="S23" s="1291"/>
      <c r="T23" s="379"/>
      <c r="U23" s="379"/>
      <c r="V23" s="525"/>
      <c r="W23" s="1651"/>
      <c r="X23" s="1651"/>
      <c r="Y23" s="1651"/>
      <c r="Z23" s="1651"/>
      <c r="AA23" s="1651"/>
      <c r="AB23" s="1651"/>
      <c r="AC23" s="525"/>
      <c r="AD23" s="525"/>
      <c r="AE23" s="525"/>
      <c r="AF23" s="525"/>
      <c r="AG23" s="525"/>
      <c r="AH23" s="1651"/>
      <c r="AI23" s="1651"/>
      <c r="AJ23" s="1651"/>
      <c r="AK23" s="1651"/>
      <c r="AL23" s="1651"/>
      <c r="AM23" s="525"/>
      <c r="AN23" s="525"/>
      <c r="AO23" s="525"/>
      <c r="AP23" s="525"/>
      <c r="AQ23" s="525"/>
      <c r="AY23" s="1171">
        <v>14</v>
      </c>
    </row>
    <row customHeight="1" ht="26.25">
      <c r="Q24" s="392"/>
      <c r="R24" s="392"/>
      <c r="S24" s="226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59"/>
      <c r="AY24" s="1171">
        <v>25</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59"/>
      <c r="AY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525"/>
      <c r="AY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2267"/>
      <c r="AC27" s="2267"/>
      <c r="AD27" s="2267"/>
      <c r="AE27" s="2267"/>
      <c r="AF27" s="342"/>
      <c r="AG27" s="2267" t="str">
        <f>IF(TITLE_NAME_OR_PR_CHANGE="",IF(TITLE_NAME_OR_PR="","",TITLE_NAME_OR_PR),TITLE_NAME_OR_PR_CHANGE)</f>
        <v>Агентство по тарифам Приморского края</v>
      </c>
      <c r="AH27" s="2267"/>
      <c r="AI27" s="2267"/>
      <c r="AJ27" s="2267"/>
      <c r="AK27" s="2267"/>
      <c r="AL27" s="2267"/>
      <c r="AM27" s="2267"/>
      <c r="AN27" s="2267"/>
      <c r="AO27" s="2267"/>
      <c r="AP27" s="2267"/>
      <c r="AQ27" s="342"/>
      <c r="AR27" s="342"/>
      <c r="AS27" s="296"/>
      <c r="AT27" s="384"/>
      <c r="AU27" s="384"/>
      <c r="AV27" s="384"/>
      <c r="AW27" s="384"/>
      <c r="AX27" s="384"/>
      <c r="AY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2280"/>
      <c r="AC28" s="2280"/>
      <c r="AD28" s="2280"/>
      <c r="AE28" s="2280"/>
      <c r="AF28" s="342"/>
      <c r="AG28" s="2280" t="str">
        <f>IF(TITLE_DATE_PR_CHANGE="",IF(TITLE_DATE_PR="","",TITLE_DATE_PR),TITLE_DATE_PR_CHANGE)</f>
        <v>45910</v>
      </c>
      <c r="AH28" s="2280"/>
      <c r="AI28" s="2280"/>
      <c r="AJ28" s="2280"/>
      <c r="AK28" s="2280"/>
      <c r="AL28" s="2280"/>
      <c r="AM28" s="2280"/>
      <c r="AN28" s="2280"/>
      <c r="AO28" s="2280"/>
      <c r="AP28" s="2280"/>
      <c r="AQ28" s="342"/>
      <c r="AR28" s="342"/>
      <c r="AS28" s="296"/>
      <c r="AT28" s="384"/>
      <c r="AU28" s="384"/>
      <c r="AV28" s="384"/>
      <c r="AW28" s="384"/>
      <c r="AX28" s="384"/>
      <c r="AY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2267"/>
      <c r="AC29" s="2267"/>
      <c r="AD29" s="2267"/>
      <c r="AE29" s="2267"/>
      <c r="AF29" s="342"/>
      <c r="AG29" s="2267" t="str">
        <f>IF(TITLE_NUMBER_PR_CHANGE="",IF(TITLE_NUMBER_PR="","",TITLE_NUMBER_PR),TITLE_NUMBER_PR_CHANGE)</f>
        <v>37/2</v>
      </c>
      <c r="AH29" s="2267"/>
      <c r="AI29" s="2267"/>
      <c r="AJ29" s="2267"/>
      <c r="AK29" s="2267"/>
      <c r="AL29" s="2267"/>
      <c r="AM29" s="2267"/>
      <c r="AN29" s="2267"/>
      <c r="AO29" s="2267"/>
      <c r="AP29" s="2267"/>
      <c r="AQ29" s="342"/>
      <c r="AR29" s="342"/>
      <c r="AS29" s="296"/>
      <c r="AT29" s="384"/>
      <c r="AU29" s="384"/>
      <c r="AV29" s="384"/>
      <c r="AW29" s="384"/>
      <c r="AX29" s="384"/>
      <c r="AY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2267"/>
      <c r="AC30" s="2267"/>
      <c r="AD30" s="2267"/>
      <c r="AE30" s="2267"/>
      <c r="AF30" s="342"/>
      <c r="AG30" s="2267" t="str">
        <f>IF(TITLE_IST_PUB_CHANGE="",IF(TITLE_IST_PUB="","",TITLE_IST_PUB),TITLE_IST_PUB_CHANGE)</f>
        <v>http://pravo.gov.ru</v>
      </c>
      <c r="AH30" s="2267"/>
      <c r="AI30" s="2267"/>
      <c r="AJ30" s="2267"/>
      <c r="AK30" s="2267"/>
      <c r="AL30" s="2267"/>
      <c r="AM30" s="2267"/>
      <c r="AN30" s="2267"/>
      <c r="AO30" s="2267"/>
      <c r="AP30" s="2267"/>
      <c r="AQ30" s="342"/>
      <c r="AR30" s="342"/>
      <c r="AS30" s="296"/>
      <c r="AT30" s="384"/>
      <c r="AU30" s="384"/>
      <c r="AV30" s="384"/>
      <c r="AW30" s="384"/>
      <c r="AX30" s="384"/>
      <c r="AY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338"/>
      <c r="AK31" s="338"/>
      <c r="AL31" s="338"/>
      <c r="AM31" s="338"/>
      <c r="AN31" s="338"/>
      <c r="AO31" s="338"/>
      <c r="AP31" s="338"/>
      <c r="AQ31" s="338"/>
      <c r="AR31" s="525"/>
      <c r="AY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2280"/>
      <c r="AC32" s="2280"/>
      <c r="AD32" s="2280"/>
      <c r="AE32" s="2280"/>
      <c r="AF32" s="342"/>
      <c r="AG32" s="2280" t="str">
        <f>IF(TITLE_DATE_PR_CHANGE="",IF(TITLE_DATE_PR="","",TITLE_DATE_PR),TITLE_DATE_PR_CHANGE)</f>
        <v>45910</v>
      </c>
      <c r="AH32" s="2280"/>
      <c r="AI32" s="2280"/>
      <c r="AJ32" s="2280"/>
      <c r="AK32" s="2280"/>
      <c r="AL32" s="2280"/>
      <c r="AM32" s="2280"/>
      <c r="AN32" s="2280"/>
      <c r="AO32" s="2280"/>
      <c r="AP32" s="2280"/>
      <c r="AQ32" s="342"/>
      <c r="AR32" s="342"/>
      <c r="AS32" s="296"/>
      <c r="AT32" s="384"/>
      <c r="AU32" s="384"/>
      <c r="AV32" s="384"/>
      <c r="AW32" s="384"/>
      <c r="AX32" s="384"/>
      <c r="AY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2267"/>
      <c r="AC33" s="2267"/>
      <c r="AD33" s="2267"/>
      <c r="AE33" s="2267"/>
      <c r="AF33" s="342"/>
      <c r="AG33" s="2267" t="str">
        <f>IF(TITLE_NUMBER_PR_CHANGE="",IF(TITLE_NUMBER_PR="","",TITLE_NUMBER_PR),TITLE_NUMBER_PR_CHANGE)</f>
        <v>37/2</v>
      </c>
      <c r="AH33" s="2267"/>
      <c r="AI33" s="2267"/>
      <c r="AJ33" s="2267"/>
      <c r="AK33" s="2267"/>
      <c r="AL33" s="2267"/>
      <c r="AM33" s="2267"/>
      <c r="AN33" s="2267"/>
      <c r="AO33" s="2267"/>
      <c r="AP33" s="2267"/>
      <c r="AQ33" s="342"/>
      <c r="AR33" s="342"/>
      <c r="AS33" s="296"/>
      <c r="AT33" s="384"/>
      <c r="AU33" s="384"/>
      <c r="AV33" s="384"/>
      <c r="AW33" s="384"/>
      <c r="AX33" s="384"/>
      <c r="AY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504"/>
      <c r="V34" s="342"/>
      <c r="W34" s="1651"/>
      <c r="X34" s="1651"/>
      <c r="Y34" s="1651"/>
      <c r="Z34" s="1651"/>
      <c r="AA34" s="1651"/>
      <c r="AB34" s="1651"/>
      <c r="AC34" s="342"/>
      <c r="AD34" s="342"/>
      <c r="AE34" s="342"/>
      <c r="AF34" s="294" t="s">
        <v>577</v>
      </c>
      <c r="AG34" s="342"/>
      <c r="AH34" s="1651"/>
      <c r="AI34" s="1651"/>
      <c r="AJ34" s="1651"/>
      <c r="AK34" s="1651"/>
      <c r="AL34" s="1651"/>
      <c r="AM34" s="342"/>
      <c r="AN34" s="342"/>
      <c r="AO34" s="342"/>
      <c r="AP34" s="342"/>
      <c r="AQ34" s="294" t="s">
        <v>577</v>
      </c>
      <c r="AT34" s="384"/>
      <c r="AU34" s="384"/>
      <c r="AV34" s="384"/>
      <c r="AW34" s="384"/>
      <c r="AX34" s="384"/>
      <c r="AY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454</v>
      </c>
      <c r="AY36" s="1171">
        <v>14</v>
      </c>
    </row>
    <row customHeight="1" ht="14.699999999999998">
      <c r="Q37" s="392"/>
      <c r="R37" s="392"/>
      <c r="S37" s="2289" t="s">
        <v>91</v>
      </c>
      <c r="T37" s="2225" t="s">
        <v>578</v>
      </c>
      <c r="U37" s="317"/>
      <c r="V37" s="2290" t="s">
        <v>579</v>
      </c>
      <c r="W37" s="2307"/>
      <c r="X37" s="2307"/>
      <c r="Y37" s="2307"/>
      <c r="Z37" s="2307"/>
      <c r="AA37" s="2307"/>
      <c r="AB37" s="2307"/>
      <c r="AC37" s="2291"/>
      <c r="AD37" s="2291"/>
      <c r="AE37" s="2292"/>
      <c r="AF37" s="2293" t="s">
        <v>580</v>
      </c>
      <c r="AG37" s="2290" t="s">
        <v>579</v>
      </c>
      <c r="AH37" s="2291"/>
      <c r="AI37" s="2291"/>
      <c r="AJ37" s="2291"/>
      <c r="AK37" s="2291"/>
      <c r="AL37" s="2291"/>
      <c r="AM37" s="2291"/>
      <c r="AN37" s="2291"/>
      <c r="AO37" s="2291"/>
      <c r="AP37" s="2292"/>
      <c r="AQ37" s="2293" t="s">
        <v>581</v>
      </c>
      <c r="AR37" s="2296" t="s">
        <v>582</v>
      </c>
      <c r="AS37" s="2143"/>
      <c r="AY37" s="1171">
        <v>14</v>
      </c>
    </row>
    <row customHeight="1" ht="19.95">
      <c r="Q38" s="392"/>
      <c r="R38" s="392"/>
      <c r="S38" s="2289"/>
      <c r="T38" s="2225"/>
      <c r="U38" s="1047"/>
      <c r="V38" s="2382" t="s">
        <v>685</v>
      </c>
      <c r="W38" s="2381" t="s">
        <v>686</v>
      </c>
      <c r="X38" s="2381"/>
      <c r="Y38" s="2381"/>
      <c r="Z38" s="2381" t="s">
        <v>687</v>
      </c>
      <c r="AA38" s="2381"/>
      <c r="AB38" s="2381"/>
      <c r="AC38" s="2310" t="s">
        <v>586</v>
      </c>
      <c r="AD38" s="2329"/>
      <c r="AE38" s="2330"/>
      <c r="AF38" s="2294"/>
      <c r="AG38" s="2382" t="s">
        <v>685</v>
      </c>
      <c r="AH38" s="2381" t="s">
        <v>686</v>
      </c>
      <c r="AI38" s="2381"/>
      <c r="AJ38" s="2381"/>
      <c r="AK38" s="2381" t="s">
        <v>687</v>
      </c>
      <c r="AL38" s="2381"/>
      <c r="AM38" s="2381"/>
      <c r="AN38" s="2310" t="s">
        <v>586</v>
      </c>
      <c r="AO38" s="2329"/>
      <c r="AP38" s="2330"/>
      <c r="AQ38" s="2294"/>
      <c r="AR38" s="2297"/>
      <c r="AS38" s="2143"/>
      <c r="AY38" s="1171">
        <v>19</v>
      </c>
    </row>
    <row s="1651" customFormat="1" customHeight="1" ht="19.95">
      <c r="A39" s="1382"/>
      <c r="B39" s="1382"/>
      <c r="C39" s="1382"/>
      <c r="D39" s="1382"/>
      <c r="E39" s="1382"/>
      <c r="F39" s="1382"/>
      <c r="G39" s="1382"/>
      <c r="H39" s="1382"/>
      <c r="I39" s="1382"/>
      <c r="J39" s="1382"/>
      <c r="K39" s="1382"/>
      <c r="L39" s="1967"/>
      <c r="M39" s="1378"/>
      <c r="N39" s="1378"/>
      <c r="O39" s="1378"/>
      <c r="P39" s="1981"/>
      <c r="Q39" s="392"/>
      <c r="R39" s="392"/>
      <c r="S39" s="2289"/>
      <c r="T39" s="2225"/>
      <c r="U39" s="1047"/>
      <c r="V39" s="2382"/>
      <c r="W39" s="2381" t="s">
        <v>688</v>
      </c>
      <c r="X39" s="2381" t="s">
        <v>689</v>
      </c>
      <c r="Y39" s="2381"/>
      <c r="Z39" s="2381" t="s">
        <v>690</v>
      </c>
      <c r="AA39" s="2381" t="s">
        <v>689</v>
      </c>
      <c r="AB39" s="2381"/>
      <c r="AC39" s="2311"/>
      <c r="AD39" s="2331"/>
      <c r="AE39" s="2332"/>
      <c r="AF39" s="2294"/>
      <c r="AG39" s="2382"/>
      <c r="AH39" s="2381" t="s">
        <v>688</v>
      </c>
      <c r="AI39" s="2381" t="s">
        <v>689</v>
      </c>
      <c r="AJ39" s="2381"/>
      <c r="AK39" s="2381" t="s">
        <v>690</v>
      </c>
      <c r="AL39" s="2381" t="s">
        <v>689</v>
      </c>
      <c r="AM39" s="2381"/>
      <c r="AN39" s="2311"/>
      <c r="AO39" s="2331"/>
      <c r="AP39" s="2332"/>
      <c r="AQ39" s="2294"/>
      <c r="AR39" s="2297"/>
      <c r="AS39" s="2143"/>
      <c r="AT39" s="1652"/>
      <c r="AU39" s="1652"/>
      <c r="AV39" s="1652"/>
      <c r="AW39" s="1652"/>
      <c r="AX39" s="1652"/>
      <c r="AY39" s="1647">
        <v>19</v>
      </c>
    </row>
    <row customHeight="1" ht="61.949999999999996">
      <c r="A40" s="1386"/>
      <c r="B40" s="1386" t="s">
        <v>204</v>
      </c>
      <c r="C40" s="1386" t="s">
        <v>205</v>
      </c>
      <c r="D40" s="1386" t="s">
        <v>206</v>
      </c>
      <c r="E40" s="1380" t="s">
        <v>587</v>
      </c>
      <c r="F40" s="1380" t="s">
        <v>588</v>
      </c>
      <c r="G40" s="1380" t="s">
        <v>589</v>
      </c>
      <c r="H40" s="1380"/>
      <c r="I40" s="1380" t="s">
        <v>643</v>
      </c>
      <c r="J40" s="1380" t="s">
        <v>592</v>
      </c>
      <c r="K40" s="1380" t="s">
        <v>644</v>
      </c>
      <c r="L40" s="1380" t="s">
        <v>568</v>
      </c>
      <c r="Q40" s="392"/>
      <c r="R40" s="392"/>
      <c r="S40" s="2289"/>
      <c r="T40" s="2225"/>
      <c r="U40" s="318"/>
      <c r="V40" s="2382"/>
      <c r="W40" s="2381"/>
      <c r="X40" s="1999" t="s">
        <v>691</v>
      </c>
      <c r="Y40" s="1999" t="s">
        <v>692</v>
      </c>
      <c r="Z40" s="2381"/>
      <c r="AA40" s="1999" t="s">
        <v>693</v>
      </c>
      <c r="AB40" s="1999" t="s">
        <v>694</v>
      </c>
      <c r="AC40" s="1505" t="s">
        <v>596</v>
      </c>
      <c r="AD40" s="2286" t="s">
        <v>597</v>
      </c>
      <c r="AE40" s="2287"/>
      <c r="AF40" s="2295"/>
      <c r="AG40" s="2382"/>
      <c r="AH40" s="2381"/>
      <c r="AI40" s="1999" t="s">
        <v>691</v>
      </c>
      <c r="AJ40" s="1999" t="s">
        <v>692</v>
      </c>
      <c r="AK40" s="2381"/>
      <c r="AL40" s="1999" t="s">
        <v>693</v>
      </c>
      <c r="AM40" s="1999" t="s">
        <v>694</v>
      </c>
      <c r="AN40" s="1505" t="s">
        <v>596</v>
      </c>
      <c r="AO40" s="2286" t="s">
        <v>597</v>
      </c>
      <c r="AP40" s="2287"/>
      <c r="AQ40" s="2295"/>
      <c r="AR40" s="2298"/>
      <c r="AS40" s="2143"/>
      <c r="AY40" s="1171">
        <v>59</v>
      </c>
    </row>
    <row s="1657" customFormat="1" customHeight="1" ht="11.25" hidden="1">
      <c r="A41" s="1386"/>
      <c r="B41" s="1386"/>
      <c r="C41" s="1386"/>
      <c r="D41" s="1386"/>
      <c r="E41" s="1386"/>
      <c r="F41" s="1386"/>
      <c r="G41" s="1386"/>
      <c r="H41" s="1386"/>
      <c r="I41" s="1386"/>
      <c r="J41" s="1386"/>
      <c r="K41" s="1386"/>
      <c r="L41" s="1380"/>
      <c r="M41" s="1378"/>
      <c r="N41" s="1378"/>
      <c r="O41" s="1378"/>
      <c r="P41" s="1262"/>
      <c r="Q41" s="1263"/>
      <c r="R41" s="1270">
        <v>1</v>
      </c>
      <c r="S41" s="1293" t="s">
        <v>141</v>
      </c>
      <c r="T41" s="1271" t="s">
        <v>107</v>
      </c>
      <c r="U41" s="1261" t="str">
        <f>OFFSET(U41,0,-1)</f>
        <v>2</v>
      </c>
      <c r="V41" s="1498">
        <f>OFFSET(V41,0,-1)+1</f>
        <v>3</v>
      </c>
      <c r="W41" s="1357"/>
      <c r="X41" s="1357"/>
      <c r="Y41" s="1357"/>
      <c r="Z41" s="1357"/>
      <c r="AA41" s="1357"/>
      <c r="AB41" s="1357"/>
      <c r="AC41" s="1498">
        <f>OFFSET(AC41,0,-1)+1</f>
        <v>1</v>
      </c>
      <c r="AD41" s="2288">
        <f>OFFSET(AD41,0,-1)+1</f>
        <v>2</v>
      </c>
      <c r="AE41" s="2288"/>
      <c r="AF41" s="1498">
        <f>OFFSET(AF41,0,-2)+1</f>
        <v>3</v>
      </c>
      <c r="AG41" s="1498">
        <f>OFFSET(AG41,0,-1)+1</f>
        <v>4</v>
      </c>
      <c r="AH41" s="1972"/>
      <c r="AI41" s="1972"/>
      <c r="AJ41" s="1972"/>
      <c r="AK41" s="1972"/>
      <c r="AL41" s="1972"/>
      <c r="AM41" s="1498">
        <f>OFFSET(AM41,0,-1)+1</f>
        <v>1</v>
      </c>
      <c r="AN41" s="1498">
        <f>OFFSET(AN41,0,-1)+1</f>
        <v>2</v>
      </c>
      <c r="AO41" s="2288">
        <f>OFFSET(AO41,0,-1)+1</f>
        <v>3</v>
      </c>
      <c r="AP41" s="2288"/>
      <c r="AQ41" s="1498">
        <f>OFFSET(AQ41,0,-2)+1</f>
        <v>4</v>
      </c>
      <c r="AR41" s="1261">
        <f>OFFSET(AR41,0,-1)</f>
        <v>4</v>
      </c>
      <c r="AS41" s="1498">
        <f>OFFSET(AS41,0,-1)+1</f>
        <v>5</v>
      </c>
      <c r="AT41" s="527"/>
      <c r="AU41" s="527"/>
      <c r="AV41" s="527"/>
      <c r="AW41" s="527"/>
      <c r="AX41" s="527"/>
      <c r="AY41" s="512">
        <v>0</v>
      </c>
    </row>
    <row customHeight="1" ht="24">
      <c r="A42" s="1379" t="s">
        <v>404</v>
      </c>
      <c r="B42" s="1379"/>
      <c r="C42" s="1379"/>
      <c r="D42" s="1379"/>
      <c r="E42" s="2274">
        <v>1</v>
      </c>
      <c r="F42" s="1379"/>
      <c r="G42" s="1379"/>
      <c r="H42" s="1379"/>
      <c r="I42" s="1379"/>
      <c r="J42" s="1379"/>
      <c r="K42" s="1379"/>
      <c r="L42" s="1380"/>
      <c r="M42" s="1381"/>
      <c r="N42" s="1381"/>
      <c r="O42" s="1381"/>
      <c r="P42" s="377"/>
      <c r="Q42" s="376"/>
      <c r="R42" s="371"/>
      <c r="S42" s="1509">
        <f>INDEX(PT_DIFFERENTIATION_NUM_NTAR,MATCH(A42,PT_DIFFERENTIATION_NTAR_ID,0))</f>
        <v>0</v>
      </c>
      <c r="T42" s="314" t="s">
        <v>192</v>
      </c>
      <c r="U42" s="316"/>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6"/>
      <c r="AV42" s="516" t="str">
        <f>IF(T42="","",T42)</f>
        <v>Наименование тарифа</v>
      </c>
      <c r="AW42" s="516"/>
      <c r="AX42" s="516"/>
      <c r="AY42" s="1171">
        <v>23</v>
      </c>
    </row>
    <row customHeight="1" ht="24">
      <c r="A43" s="1379" t="s">
        <v>404</v>
      </c>
      <c r="B43" s="1379" t="s">
        <v>405</v>
      </c>
      <c r="C43" s="1379"/>
      <c r="D43" s="1379"/>
      <c r="E43" s="2275"/>
      <c r="F43" s="2274">
        <v>1</v>
      </c>
      <c r="G43" s="1379"/>
      <c r="H43" s="1379"/>
      <c r="I43" s="1379"/>
      <c r="J43" s="1379"/>
      <c r="K43" s="1379"/>
      <c r="L43" s="1380"/>
      <c r="M43" s="1381"/>
      <c r="N43" s="1381"/>
      <c r="O43" s="1381"/>
      <c r="P43" s="1503"/>
      <c r="Q43" s="368"/>
      <c r="R43" s="369"/>
      <c r="S43" s="1509" t="str">
        <f>INDEX(PT_DIFFERENTIATION_NUM_TER,MATCH(B43,PT_DIFFERENTIATION_TER_ID,0))</f>
        <v>.</v>
      </c>
      <c r="T43" s="324" t="s">
        <v>550</v>
      </c>
      <c r="U43" s="316"/>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74" t="s">
        <v>551</v>
      </c>
      <c r="AU43" s="516"/>
      <c r="AV43" s="516" t="str">
        <f>IF(T43="","",T43)</f>
        <v>Территория действия тарифа</v>
      </c>
      <c r="AW43" s="516"/>
      <c r="AX43" s="516"/>
      <c r="AY43" s="1171">
        <v>23</v>
      </c>
    </row>
    <row customHeight="1" ht="24">
      <c r="A44" s="1379" t="s">
        <v>404</v>
      </c>
      <c r="B44" s="1379" t="s">
        <v>405</v>
      </c>
      <c r="C44" s="1379" t="s">
        <v>406</v>
      </c>
      <c r="D44" s="1379"/>
      <c r="E44" s="2275"/>
      <c r="F44" s="2275"/>
      <c r="G44" s="2274">
        <v>1</v>
      </c>
      <c r="H44" s="1379"/>
      <c r="I44" s="1379"/>
      <c r="J44" s="1379"/>
      <c r="K44" s="1379"/>
      <c r="L44" s="1380"/>
      <c r="M44" s="1381"/>
      <c r="N44" s="1381"/>
      <c r="O44" s="1381"/>
      <c r="P44" s="370"/>
      <c r="Q44" s="368"/>
      <c r="R44" s="369"/>
      <c r="S44" s="1509" t="str">
        <f>INDEX(PT_DIFFERENTIATION_NUM_CS,MATCH(C44,PT_DIFFERENTIATION_CS_ID,0))</f>
        <v>..</v>
      </c>
      <c r="T44" s="325" t="s">
        <v>683</v>
      </c>
      <c r="U44" s="316"/>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74" t="s">
        <v>684</v>
      </c>
      <c r="AU44" s="516"/>
      <c r="AV44" s="516" t="str">
        <f>IF(T44="","",T44)</f>
        <v>Наименование централизованной системы горячего водоснабжения</v>
      </c>
      <c r="AW44" s="516"/>
      <c r="AX44" s="516"/>
      <c r="AY44" s="1171">
        <v>23</v>
      </c>
    </row>
    <row customHeight="1" ht="24">
      <c r="A45" s="1379" t="s">
        <v>404</v>
      </c>
      <c r="B45" s="1379" t="s">
        <v>405</v>
      </c>
      <c r="C45" s="1379" t="s">
        <v>406</v>
      </c>
      <c r="D45" s="1379" t="s">
        <v>695</v>
      </c>
      <c r="E45" s="2275"/>
      <c r="F45" s="2275"/>
      <c r="G45" s="2275"/>
      <c r="H45" s="2275"/>
      <c r="I45" s="2272" t="str">
        <f>S44&amp;".1"</f>
        <v>...1</v>
      </c>
      <c r="J45" s="1379"/>
      <c r="K45" s="1379"/>
      <c r="L45" s="1380"/>
      <c r="P45" s="2273">
        <v>1</v>
      </c>
      <c r="Q45" s="1497"/>
      <c r="R45" s="372"/>
      <c r="S45" s="1509" t="str">
        <f>$I45</f>
        <v>...1</v>
      </c>
      <c r="T45" s="301" t="s">
        <v>636</v>
      </c>
      <c r="U45" s="316"/>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74" t="s">
        <v>637</v>
      </c>
      <c r="AU45" s="516"/>
      <c r="AV45" s="516" t="str">
        <f>IF(T45="","",T45)</f>
        <v>Наименование признака дифференциации</v>
      </c>
      <c r="AW45" s="516"/>
      <c r="AX45" s="516"/>
      <c r="AY45" s="1171">
        <v>23</v>
      </c>
    </row>
    <row customHeight="1" ht="24">
      <c r="A46" s="1379" t="s">
        <v>404</v>
      </c>
      <c r="B46" s="1379" t="s">
        <v>405</v>
      </c>
      <c r="C46" s="1379" t="s">
        <v>406</v>
      </c>
      <c r="D46" s="1379" t="s">
        <v>695</v>
      </c>
      <c r="E46" s="2275"/>
      <c r="F46" s="2275"/>
      <c r="G46" s="2275"/>
      <c r="H46" s="2275"/>
      <c r="I46" s="2302"/>
      <c r="J46" s="2272" t="str">
        <f>I45&amp;".1"</f>
        <v>...1.1</v>
      </c>
      <c r="K46" s="1379"/>
      <c r="L46" s="1380" t="s">
        <v>559</v>
      </c>
      <c r="P46" s="2273"/>
      <c r="Q46" s="2273">
        <v>1</v>
      </c>
      <c r="R46" s="373"/>
      <c r="S46" s="1509" t="str">
        <f>$J46</f>
        <v>...1.1</v>
      </c>
      <c r="T46" s="302" t="s">
        <v>560</v>
      </c>
      <c r="U46" s="316"/>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23" t="s">
        <v>638</v>
      </c>
      <c r="AU46" s="516"/>
      <c r="AV46" s="516" t="str">
        <f>IF(T46="","",T46)</f>
        <v>Группа потребителей</v>
      </c>
      <c r="AW46" s="516"/>
      <c r="AX46" s="516"/>
      <c r="AY46" s="1171">
        <v>23</v>
      </c>
    </row>
    <row customHeight="1" ht="24">
      <c r="A47" s="1379" t="s">
        <v>404</v>
      </c>
      <c r="B47" s="1379" t="s">
        <v>405</v>
      </c>
      <c r="C47" s="1379" t="s">
        <v>406</v>
      </c>
      <c r="D47" s="1379" t="s">
        <v>695</v>
      </c>
      <c r="E47" s="2275"/>
      <c r="F47" s="2275"/>
      <c r="G47" s="2275"/>
      <c r="H47" s="2275"/>
      <c r="I47" s="2302"/>
      <c r="J47" s="2302"/>
      <c r="K47" s="2272" t="str">
        <f>J46&amp;".1"</f>
        <v>...1.1.1</v>
      </c>
      <c r="L47" s="1380"/>
      <c r="P47" s="2273"/>
      <c r="Q47" s="2273"/>
      <c r="R47" s="373">
        <v>1</v>
      </c>
      <c r="S47" s="1509" t="str">
        <f>$K47</f>
        <v>...1.1.1</v>
      </c>
      <c r="T47" s="1453"/>
      <c r="U47" s="316"/>
      <c r="V47" s="767"/>
      <c r="W47" s="767"/>
      <c r="X47" s="767"/>
      <c r="Y47" s="767"/>
      <c r="Z47" s="767"/>
      <c r="AA47" s="767"/>
      <c r="AB47" s="767"/>
      <c r="AC47" s="2283"/>
      <c r="AD47" s="2284" t="s">
        <v>64</v>
      </c>
      <c r="AE47" s="2283"/>
      <c r="AF47" s="2284" t="s">
        <v>64</v>
      </c>
      <c r="AG47" s="767"/>
      <c r="AH47" s="767"/>
      <c r="AI47" s="767"/>
      <c r="AJ47" s="767"/>
      <c r="AK47" s="767"/>
      <c r="AL47" s="767"/>
      <c r="AM47" s="767"/>
      <c r="AN47" s="2281"/>
      <c r="AO47" s="2123" t="s">
        <v>64</v>
      </c>
      <c r="AP47" s="2303"/>
      <c r="AQ47" s="2123" t="s">
        <v>19</v>
      </c>
      <c r="AR47" s="1454"/>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7">
        <f>STRCHECKDATE(V48:AR48)</f>
      </c>
      <c r="AU47" s="516"/>
      <c r="AV47" s="516" t="str">
        <f>IF(T47="","",T47)</f>
        <v/>
      </c>
      <c r="AW47" s="516"/>
      <c r="AX47" s="516"/>
      <c r="AY47" s="1171">
        <v>23</v>
      </c>
    </row>
    <row customHeight="1" ht="0">
      <c r="A48" s="1379" t="s">
        <v>404</v>
      </c>
      <c r="B48" s="1379" t="s">
        <v>405</v>
      </c>
      <c r="C48" s="1379" t="s">
        <v>406</v>
      </c>
      <c r="D48" s="1379" t="s">
        <v>695</v>
      </c>
      <c r="E48" s="2275"/>
      <c r="F48" s="2275"/>
      <c r="G48" s="2275"/>
      <c r="H48" s="2275"/>
      <c r="I48" s="2302"/>
      <c r="J48" s="2302"/>
      <c r="K48" s="2272"/>
      <c r="L48" s="1380"/>
      <c r="P48" s="2273"/>
      <c r="Q48" s="2273"/>
      <c r="R48" s="373"/>
      <c r="S48" s="1506"/>
      <c r="T48" s="316"/>
      <c r="U48" s="316"/>
      <c r="V48" s="1376"/>
      <c r="W48" s="1376"/>
      <c r="X48" s="1376"/>
      <c r="Y48" s="1376"/>
      <c r="Z48" s="1376"/>
      <c r="AA48" s="1376"/>
      <c r="AB48" s="1376"/>
      <c r="AC48" s="2284"/>
      <c r="AD48" s="2284"/>
      <c r="AE48" s="2284"/>
      <c r="AF48" s="2284"/>
      <c r="AG48" s="341"/>
      <c r="AH48" s="341"/>
      <c r="AI48" s="341"/>
      <c r="AJ48" s="341"/>
      <c r="AK48" s="341"/>
      <c r="AL48" s="341"/>
      <c r="AM48" s="341"/>
      <c r="AN48" s="2282"/>
      <c r="AO48" s="2123"/>
      <c r="AP48" s="2304"/>
      <c r="AQ48" s="2123"/>
      <c r="AR48" s="1455"/>
      <c r="AS48" s="2365"/>
      <c r="AU48" s="516"/>
      <c r="AV48" s="516" t="str">
        <f>IF(T48="","",T48)</f>
        <v/>
      </c>
      <c r="AW48" s="516"/>
      <c r="AX48" s="516"/>
      <c r="AY48" s="1171">
        <v>0</v>
      </c>
    </row>
    <row customHeight="1" ht="21">
      <c r="A49" s="1379" t="s">
        <v>404</v>
      </c>
      <c r="B49" s="1379" t="s">
        <v>405</v>
      </c>
      <c r="C49" s="1379" t="s">
        <v>406</v>
      </c>
      <c r="D49" s="1379" t="s">
        <v>695</v>
      </c>
      <c r="E49" s="2275"/>
      <c r="F49" s="2275"/>
      <c r="G49" s="2275"/>
      <c r="H49" s="2275"/>
      <c r="I49" s="2302"/>
      <c r="J49" s="2272"/>
      <c r="K49" s="1379"/>
      <c r="L49" s="1380"/>
      <c r="P49" s="2273"/>
      <c r="Q49" s="2273"/>
      <c r="R49" s="372"/>
      <c r="S49" s="1294"/>
      <c r="T49" s="303" t="s">
        <v>639</v>
      </c>
      <c r="U49" s="383"/>
      <c r="V49" s="383"/>
      <c r="W49" s="616"/>
      <c r="X49" s="616"/>
      <c r="Y49" s="616"/>
      <c r="Z49" s="616"/>
      <c r="AA49" s="616"/>
      <c r="AB49" s="616"/>
      <c r="AC49" s="383"/>
      <c r="AD49" s="383"/>
      <c r="AE49" s="383"/>
      <c r="AF49" s="383"/>
      <c r="AG49" s="383"/>
      <c r="AH49" s="616"/>
      <c r="AI49" s="616"/>
      <c r="AJ49" s="616"/>
      <c r="AK49" s="616"/>
      <c r="AL49" s="616"/>
      <c r="AM49" s="383"/>
      <c r="AN49" s="383"/>
      <c r="AO49" s="383"/>
      <c r="AP49" s="383"/>
      <c r="AQ49" s="383"/>
      <c r="AR49" s="383"/>
      <c r="AS49" s="1274" t="s">
        <v>640</v>
      </c>
      <c r="AU49" s="516"/>
      <c r="AV49" s="516" t="str">
        <f>IF(T49="","",T49)</f>
        <v>Добавить значение признака дифференциации</v>
      </c>
      <c r="AW49" s="516"/>
      <c r="AX49" s="516"/>
      <c r="AY49" s="1171">
        <v>20</v>
      </c>
    </row>
    <row customHeight="1" ht="22.049999999999997">
      <c r="A50" s="1379" t="s">
        <v>404</v>
      </c>
      <c r="B50" s="1379" t="s">
        <v>405</v>
      </c>
      <c r="C50" s="1379" t="s">
        <v>406</v>
      </c>
      <c r="D50" s="1379" t="s">
        <v>695</v>
      </c>
      <c r="E50" s="2275"/>
      <c r="F50" s="2275"/>
      <c r="G50" s="2275"/>
      <c r="H50" s="2275"/>
      <c r="I50" s="2272"/>
      <c r="J50" s="1379"/>
      <c r="K50" s="1379"/>
      <c r="L50" s="1380"/>
      <c r="P50" s="2273"/>
      <c r="Q50" s="1497"/>
      <c r="R50" s="372"/>
      <c r="S50" s="1294"/>
      <c r="T50" s="381" t="s">
        <v>565</v>
      </c>
      <c r="U50" s="383"/>
      <c r="V50" s="383"/>
      <c r="W50" s="616"/>
      <c r="X50" s="616"/>
      <c r="Y50" s="616"/>
      <c r="Z50" s="616"/>
      <c r="AA50" s="616"/>
      <c r="AB50" s="616"/>
      <c r="AC50" s="383"/>
      <c r="AD50" s="383"/>
      <c r="AE50" s="383"/>
      <c r="AF50" s="382"/>
      <c r="AG50" s="383"/>
      <c r="AH50" s="616"/>
      <c r="AI50" s="616"/>
      <c r="AJ50" s="616"/>
      <c r="AK50" s="616"/>
      <c r="AL50" s="616"/>
      <c r="AM50" s="383"/>
      <c r="AN50" s="383"/>
      <c r="AO50" s="383"/>
      <c r="AP50" s="383"/>
      <c r="AQ50" s="382"/>
      <c r="AR50" s="383"/>
      <c r="AS50" s="1456"/>
      <c r="AU50" s="516"/>
      <c r="AV50" s="516" t="str">
        <f>IF(T50="","",T50)</f>
        <v>Добавить группу потребителей</v>
      </c>
      <c r="AW50" s="516"/>
      <c r="AX50" s="516"/>
      <c r="AY50" s="1171">
        <v>21</v>
      </c>
    </row>
    <row customHeight="1" ht="22.049999999999997">
      <c r="A51" s="1379" t="s">
        <v>404</v>
      </c>
      <c r="B51" s="1379" t="s">
        <v>405</v>
      </c>
      <c r="C51" s="1379" t="s">
        <v>406</v>
      </c>
      <c r="D51" s="1379" t="s">
        <v>695</v>
      </c>
      <c r="E51" s="2275"/>
      <c r="F51" s="2275"/>
      <c r="G51" s="2275"/>
      <c r="H51" s="2274"/>
      <c r="I51" s="1379"/>
      <c r="J51" s="1379"/>
      <c r="K51" s="1379"/>
      <c r="L51" s="1380"/>
      <c r="M51" s="1381"/>
      <c r="N51" s="1381"/>
      <c r="O51" s="553"/>
      <c r="P51" s="376"/>
      <c r="Q51" s="391"/>
      <c r="R51" s="371"/>
      <c r="S51" s="1294"/>
      <c r="T51" s="388" t="s">
        <v>641</v>
      </c>
      <c r="U51" s="383"/>
      <c r="V51" s="383"/>
      <c r="W51" s="616"/>
      <c r="X51" s="616"/>
      <c r="Y51" s="616"/>
      <c r="Z51" s="616"/>
      <c r="AA51" s="616"/>
      <c r="AB51" s="616"/>
      <c r="AC51" s="383"/>
      <c r="AD51" s="383"/>
      <c r="AE51" s="383"/>
      <c r="AF51" s="382"/>
      <c r="AG51" s="383"/>
      <c r="AH51" s="616"/>
      <c r="AI51" s="616"/>
      <c r="AJ51" s="616"/>
      <c r="AK51" s="616"/>
      <c r="AL51" s="616"/>
      <c r="AM51" s="383"/>
      <c r="AN51" s="383"/>
      <c r="AO51" s="383"/>
      <c r="AP51" s="383"/>
      <c r="AQ51" s="382"/>
      <c r="AR51" s="383"/>
      <c r="AS51" s="319"/>
      <c r="AU51" s="516"/>
      <c r="AV51" s="516" t="str">
        <f>IF(T51="","",T51)</f>
        <v>Добавить наименование признака дифференциации</v>
      </c>
      <c r="AW51" s="516"/>
      <c r="AX51" s="516"/>
      <c r="AY51" s="1171">
        <v>21</v>
      </c>
    </row>
    <row s="1658" customFormat="1" customHeight="1" ht="0">
      <c r="A52" s="1359" t="s">
        <v>404</v>
      </c>
      <c r="B52" s="1359" t="s">
        <v>405</v>
      </c>
      <c r="C52" s="1330"/>
      <c r="D52" s="1330"/>
      <c r="E52" s="2275"/>
      <c r="F52" s="2274"/>
      <c r="G52" s="1330"/>
      <c r="H52" s="1330"/>
      <c r="I52" s="1330"/>
      <c r="J52" s="1330"/>
      <c r="K52" s="1330"/>
      <c r="L52" s="1510"/>
      <c r="M52" s="1337"/>
      <c r="N52" s="1337"/>
      <c r="P52" s="1332"/>
      <c r="Q52" s="1333"/>
      <c r="R52" s="1332"/>
      <c r="S52" s="1338"/>
      <c r="T52" s="1341" t="s">
        <v>269</v>
      </c>
      <c r="U52" s="1340"/>
      <c r="V52" s="1340"/>
      <c r="W52" s="1340"/>
      <c r="X52" s="1340"/>
      <c r="Y52" s="1340"/>
      <c r="Z52" s="1340"/>
      <c r="AA52" s="1340"/>
      <c r="AB52" s="1340"/>
      <c r="AC52" s="1340"/>
      <c r="AD52" s="1340"/>
      <c r="AE52" s="1340"/>
      <c r="AF52" s="1340"/>
      <c r="AG52" s="1340"/>
      <c r="AH52" s="1340"/>
      <c r="AI52" s="1340"/>
      <c r="AJ52" s="1340"/>
      <c r="AK52" s="1340"/>
      <c r="AL52" s="1340"/>
      <c r="AM52" s="1340"/>
      <c r="AN52" s="1340"/>
      <c r="AO52" s="1340"/>
      <c r="AP52" s="1340"/>
      <c r="AQ52" s="1340"/>
      <c r="AR52" s="1340"/>
      <c r="AS52" s="1340"/>
      <c r="AU52" s="805"/>
      <c r="AV52" s="805" t="str">
        <f>IF(T52="","",T52)</f>
        <v>Добавить централизованную систему для дифференциации</v>
      </c>
      <c r="AW52" s="805"/>
      <c r="AX52" s="805"/>
      <c r="AY52" s="534">
        <v>0</v>
      </c>
    </row>
    <row s="1658" customFormat="1" customHeight="1" ht="0">
      <c r="A53" s="1359" t="s">
        <v>404</v>
      </c>
      <c r="B53" s="1359"/>
      <c r="C53" s="1359"/>
      <c r="D53" s="1359"/>
      <c r="E53" s="2274"/>
      <c r="F53" s="1359"/>
      <c r="G53" s="1359"/>
      <c r="H53" s="1359"/>
      <c r="I53" s="1359"/>
      <c r="J53" s="1359"/>
      <c r="K53" s="1359"/>
      <c r="L53" s="1362"/>
      <c r="M53" s="1337"/>
      <c r="N53" s="1337"/>
      <c r="O53" s="534"/>
      <c r="P53" s="396"/>
      <c r="Q53" s="1360"/>
      <c r="R53" s="396"/>
      <c r="S53" s="1338"/>
      <c r="T53" s="1341" t="s">
        <v>330</v>
      </c>
      <c r="U53" s="1340"/>
      <c r="V53" s="1340"/>
      <c r="W53" s="1340"/>
      <c r="X53" s="1340"/>
      <c r="Y53" s="1340"/>
      <c r="Z53" s="1340"/>
      <c r="AA53" s="1340"/>
      <c r="AB53" s="1340"/>
      <c r="AC53" s="1340"/>
      <c r="AD53" s="1340"/>
      <c r="AE53" s="1340"/>
      <c r="AF53" s="1340"/>
      <c r="AG53" s="1340"/>
      <c r="AH53" s="1340"/>
      <c r="AI53" s="1340"/>
      <c r="AJ53" s="1340"/>
      <c r="AK53" s="1340"/>
      <c r="AL53" s="1340"/>
      <c r="AM53" s="1340"/>
      <c r="AN53" s="1340"/>
      <c r="AO53" s="1340"/>
      <c r="AP53" s="1340"/>
      <c r="AQ53" s="1340"/>
      <c r="AR53" s="1340"/>
      <c r="AS53" s="1340"/>
      <c r="AU53" s="516"/>
      <c r="AV53" s="516" t="str">
        <f>IF(T53="","",T53)</f>
        <v>Добавить территорию для дифференциации</v>
      </c>
      <c r="AW53" s="516"/>
      <c r="AX53" s="516"/>
      <c r="AY53" s="527">
        <v>0</v>
      </c>
    </row>
    <row s="1658" customFormat="1" customHeight="1" ht="0">
      <c r="A54" s="1330"/>
      <c r="B54" s="1330"/>
      <c r="C54" s="1330"/>
      <c r="D54" s="1330"/>
      <c r="E54" s="1359"/>
      <c r="F54" s="1330"/>
      <c r="G54" s="1330"/>
      <c r="H54" s="1330"/>
      <c r="I54" s="1330"/>
      <c r="J54" s="1330"/>
      <c r="K54" s="1330"/>
      <c r="L54" s="1510"/>
      <c r="M54" s="1337"/>
      <c r="N54" s="1337"/>
      <c r="P54" s="1332"/>
      <c r="Q54" s="1333"/>
      <c r="R54" s="1332"/>
      <c r="S54" s="1338"/>
      <c r="T54" s="1341" t="s">
        <v>356</v>
      </c>
      <c r="U54" s="1340"/>
      <c r="V54" s="1340"/>
      <c r="W54" s="1340"/>
      <c r="X54" s="1340"/>
      <c r="Y54" s="1340"/>
      <c r="Z54" s="1340"/>
      <c r="AA54" s="1340"/>
      <c r="AB54" s="1340"/>
      <c r="AC54" s="1340"/>
      <c r="AD54" s="1340"/>
      <c r="AE54" s="1340"/>
      <c r="AF54" s="1340"/>
      <c r="AG54" s="1340"/>
      <c r="AH54" s="1340"/>
      <c r="AI54" s="1340"/>
      <c r="AJ54" s="1340"/>
      <c r="AK54" s="1340"/>
      <c r="AL54" s="1340"/>
      <c r="AM54" s="1340"/>
      <c r="AN54" s="1340"/>
      <c r="AO54" s="1340"/>
      <c r="AP54" s="1340"/>
      <c r="AQ54" s="1340"/>
      <c r="AR54" s="1340"/>
      <c r="AS54" s="1340"/>
      <c r="AU54" s="805"/>
      <c r="AV54" s="805" t="str">
        <f>IF(T54="","",T54)</f>
        <v>Добавить наименование тарифа</v>
      </c>
      <c r="AW54" s="805"/>
      <c r="AX54" s="805"/>
      <c r="AY54" s="534">
        <v>0</v>
      </c>
    </row>
    <row customHeight="1" ht="11.549999999999999">
      <c r="M55" s="1176"/>
      <c r="N55" s="1176"/>
      <c r="O55" s="553"/>
      <c r="P55" s="1171"/>
      <c r="Q55" s="1171"/>
      <c r="R55" s="1171"/>
      <c r="S55" s="1171"/>
      <c r="AT55" s="1171"/>
      <c r="AU55" s="1171"/>
      <c r="AV55" s="1171"/>
      <c r="AW55" s="1171"/>
      <c r="AX55" s="1171"/>
      <c r="AY55" s="1171">
        <v>11</v>
      </c>
    </row>
    <row customHeight="1" ht="14.699999999999998">
      <c r="O56" s="553"/>
      <c r="S56" s="1269"/>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71">
        <v>14</v>
      </c>
    </row>
    <row customHeight="1" ht="14.699999999999998">
      <c r="O57" s="553"/>
      <c r="AY57" s="1171">
        <v>14</v>
      </c>
    </row>
    <row customHeight="1" ht="14.699999999999998">
      <c r="O58" s="553"/>
      <c r="S58" s="1269"/>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71">
        <v>14</v>
      </c>
    </row>
    <row customHeight="1" ht="22.5" hidden="1">
      <c r="A59" s="1176" t="s">
        <v>85</v>
      </c>
      <c r="B59" s="1176">
        <v>0</v>
      </c>
      <c r="C59" s="1176">
        <v>0</v>
      </c>
      <c r="D59" s="1176">
        <v>0</v>
      </c>
      <c r="E59" s="1176">
        <v>0</v>
      </c>
      <c r="F59" s="1176">
        <v>0</v>
      </c>
      <c r="G59" s="1176">
        <v>0</v>
      </c>
      <c r="H59" s="1176">
        <v>0</v>
      </c>
      <c r="I59" s="1176">
        <v>0</v>
      </c>
      <c r="J59" s="1176">
        <v>0</v>
      </c>
      <c r="K59" s="1176">
        <v>0</v>
      </c>
      <c r="L59" s="1494">
        <v>0</v>
      </c>
      <c r="M59" s="1378">
        <v>0</v>
      </c>
      <c r="N59" s="1378">
        <v>0</v>
      </c>
      <c r="O59" s="1378">
        <v>0</v>
      </c>
      <c r="P59" s="1489">
        <v>3</v>
      </c>
      <c r="Q59" s="360">
        <v>3</v>
      </c>
      <c r="R59" s="360">
        <v>3</v>
      </c>
      <c r="S59" s="597">
        <v>12</v>
      </c>
      <c r="T59" s="1171">
        <v>35</v>
      </c>
      <c r="U59" s="1171">
        <v>0</v>
      </c>
      <c r="V59" s="1171">
        <v>0</v>
      </c>
      <c r="W59" s="1647">
        <v>0</v>
      </c>
      <c r="X59" s="1647">
        <v>0</v>
      </c>
      <c r="Y59" s="1647">
        <v>0</v>
      </c>
      <c r="Z59" s="1647">
        <v>0</v>
      </c>
      <c r="AA59" s="1647">
        <v>0</v>
      </c>
      <c r="AB59" s="1647">
        <v>0</v>
      </c>
      <c r="AC59" s="1171">
        <v>0</v>
      </c>
      <c r="AD59" s="1171">
        <v>0</v>
      </c>
      <c r="AE59" s="1171">
        <v>0</v>
      </c>
      <c r="AF59" s="1171">
        <v>0</v>
      </c>
      <c r="AG59" s="1171">
        <v>19</v>
      </c>
      <c r="AH59" s="1647">
        <v>19</v>
      </c>
      <c r="AI59" s="1647">
        <v>19</v>
      </c>
      <c r="AJ59" s="1647">
        <v>19</v>
      </c>
      <c r="AK59" s="1647">
        <v>19</v>
      </c>
      <c r="AL59" s="1647">
        <v>19</v>
      </c>
      <c r="AM59" s="1171">
        <v>19</v>
      </c>
      <c r="AN59" s="1171">
        <v>11</v>
      </c>
      <c r="AO59" s="1171">
        <v>3</v>
      </c>
      <c r="AP59" s="1171">
        <v>11</v>
      </c>
      <c r="AQ59" s="1171">
        <v>0</v>
      </c>
      <c r="AR59" s="1171">
        <v>4</v>
      </c>
      <c r="AS59" s="1171">
        <v>115</v>
      </c>
      <c r="AT59" s="527">
        <v>10</v>
      </c>
      <c r="AU59" s="527">
        <v>10</v>
      </c>
      <c r="AV59" s="527">
        <v>10</v>
      </c>
      <c r="AW59" s="527">
        <v>10</v>
      </c>
      <c r="AX59" s="527">
        <v>10</v>
      </c>
      <c r="AY59" s="117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681F5-0F58-11D5-6046-74CAA62B0C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4.140625" hidden="1" customWidth="1"/>
    <col min="10" max="10" style="1382" width="9.8515625" hidden="1" customWidth="1"/>
    <col min="11" max="11" style="1382" width="14.7109375" hidden="1" customWidth="1"/>
    <col min="12" max="12" style="2623" width="19.140625" hidden="1" customWidth="1"/>
    <col min="13" max="14" style="1792" width="12.28125" hidden="1" customWidth="1"/>
    <col min="15" max="15" style="1792" width="23.421875" hidden="1" customWidth="1"/>
    <col min="16" max="16" style="2413" width="3.00390625" customWidth="1"/>
    <col min="17" max="18" style="360" width="3.00390625" customWidth="1"/>
    <col min="19" max="19" style="2423" width="12.00390625" customWidth="1"/>
    <col min="20" max="20" style="1651" width="35.00390625" customWidth="1"/>
    <col min="21" max="21" style="1651" width="0.140625" customWidth="1"/>
    <col min="22" max="28" style="1651" width="19.7109375" hidden="1" customWidth="1"/>
    <col min="29" max="29" style="1651" width="11.7109375" hidden="1" customWidth="1"/>
    <col min="30" max="30" style="1651" width="3.7109375" hidden="1" customWidth="1"/>
    <col min="31" max="31" style="1651" width="11.7109375" hidden="1" customWidth="1"/>
    <col min="32" max="32" style="1651" width="8.57421875" hidden="1" customWidth="1"/>
    <col min="33" max="33" style="1651" width="19.7109375" customWidth="1"/>
    <col min="34" max="39" style="1651" width="19.00390625" customWidth="1"/>
    <col min="40" max="40" style="1651" width="11.00390625" customWidth="1"/>
    <col min="41" max="41" style="1651" width="3.7109375" customWidth="1"/>
    <col min="42" max="42" style="1651" width="11.00390625" customWidth="1"/>
    <col min="43" max="43" style="1651" width="8.57421875" hidden="1" customWidth="1"/>
    <col min="44" max="44" style="1651" width="4.00390625" customWidth="1"/>
    <col min="45" max="45" style="1651" width="115.00390625" customWidth="1"/>
    <col min="46" max="50" style="1658" width="10.00390625" customWidth="1"/>
    <col min="51" max="51" style="1651" width="10.57421875" hidden="1"/>
  </cols>
  <sheetData>
    <row customHeight="1" ht="22.5" hidden="1">
      <c r="AB1" s="343"/>
      <c r="AC1" s="343"/>
      <c r="AM1" s="343"/>
      <c r="AN1" s="343"/>
      <c r="AY1" s="1171" t="s">
        <v>14</v>
      </c>
    </row>
    <row customHeight="1" ht="23.25" hidden="1">
      <c r="A2" s="1379"/>
      <c r="B2" s="1379"/>
      <c r="C2" s="1379"/>
      <c r="D2" s="1379"/>
      <c r="E2" s="2274">
        <v>1</v>
      </c>
      <c r="F2" s="1379"/>
      <c r="G2" s="1379"/>
      <c r="H2" s="1379"/>
      <c r="I2" s="1379"/>
      <c r="J2" s="1379"/>
      <c r="K2" s="1379"/>
      <c r="L2" s="1380"/>
      <c r="M2" s="1381"/>
      <c r="N2" s="1381"/>
      <c r="O2" s="1381"/>
      <c r="P2" s="377"/>
      <c r="Q2" s="376"/>
      <c r="R2" s="371"/>
      <c r="S2" s="1509">
        <f>INDEX(PT_DIFFERENTIATION_NUM_NTAR,MATCH(A2,PT_DIFFERENTIATION_NTAR_ID,0))</f>
      </c>
      <c r="T2" s="314" t="s">
        <v>192</v>
      </c>
      <c r="U2" s="316"/>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6"/>
      <c r="AV2" s="516" t="str">
        <f>IF(T2="","",T2)</f>
        <v>Наименование тарифа</v>
      </c>
      <c r="AW2" s="516"/>
      <c r="AX2" s="516"/>
      <c r="AY2" s="1171">
        <v>0</v>
      </c>
    </row>
    <row customHeight="1" ht="23.25" hidden="1">
      <c r="A3" s="1379"/>
      <c r="B3" s="1379"/>
      <c r="C3" s="1379"/>
      <c r="D3" s="1379"/>
      <c r="E3" s="2275"/>
      <c r="F3" s="2274">
        <v>1</v>
      </c>
      <c r="G3" s="1379"/>
      <c r="H3" s="1379"/>
      <c r="I3" s="1379"/>
      <c r="J3" s="1379"/>
      <c r="K3" s="1379"/>
      <c r="L3" s="1380"/>
      <c r="M3" s="1381"/>
      <c r="N3" s="1381"/>
      <c r="O3" s="1381"/>
      <c r="P3" s="1503"/>
      <c r="Q3" s="368"/>
      <c r="R3" s="369"/>
      <c r="S3" s="1509">
        <f>INDEX(PT_DIFFERENTIATION_NUM_TER,MATCH(B3,PT_DIFFERENTIATION_TER_ID,0))</f>
      </c>
      <c r="T3" s="324" t="s">
        <v>550</v>
      </c>
      <c r="U3" s="316"/>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74" t="s">
        <v>551</v>
      </c>
      <c r="AU3" s="516"/>
      <c r="AV3" s="516" t="str">
        <f>IF(T3="","",T3)</f>
        <v>Территория действия тарифа</v>
      </c>
      <c r="AW3" s="516"/>
      <c r="AX3" s="516"/>
      <c r="AY3" s="1171">
        <v>0</v>
      </c>
    </row>
    <row customHeight="1" ht="23.25" hidden="1">
      <c r="A4" s="1379"/>
      <c r="B4" s="1379"/>
      <c r="C4" s="1379"/>
      <c r="D4" s="1379"/>
      <c r="E4" s="2275"/>
      <c r="F4" s="2275"/>
      <c r="G4" s="2274">
        <v>1</v>
      </c>
      <c r="H4" s="1379"/>
      <c r="I4" s="1379"/>
      <c r="J4" s="1379"/>
      <c r="K4" s="1379"/>
      <c r="L4" s="1380"/>
      <c r="M4" s="1381"/>
      <c r="N4" s="1381"/>
      <c r="O4" s="1381"/>
      <c r="P4" s="370"/>
      <c r="Q4" s="368"/>
      <c r="R4" s="369"/>
      <c r="S4" s="1509">
        <f>INDEX(PT_DIFFERENTIATION_NUM_CS,MATCH(C4,PT_DIFFERENTIATION_CS_ID,0))</f>
      </c>
      <c r="T4" s="325" t="s">
        <v>683</v>
      </c>
      <c r="U4" s="316"/>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74" t="s">
        <v>684</v>
      </c>
      <c r="AU4" s="516"/>
      <c r="AV4" s="516" t="str">
        <f>IF(T4="","",T4)</f>
        <v>Наименование централизованной системы горячего водоснабжения</v>
      </c>
      <c r="AW4" s="516"/>
      <c r="AX4" s="516"/>
      <c r="AY4" s="1171">
        <v>0</v>
      </c>
    </row>
    <row customHeight="1" ht="23.25" hidden="1">
      <c r="A5" s="1379"/>
      <c r="B5" s="1379"/>
      <c r="C5" s="1379"/>
      <c r="D5" s="1379"/>
      <c r="E5" s="2275"/>
      <c r="F5" s="2275"/>
      <c r="G5" s="2275"/>
      <c r="H5" s="2275"/>
      <c r="I5" s="2272">
        <f>S4&amp;".1"</f>
      </c>
      <c r="J5" s="1379"/>
      <c r="K5" s="1379"/>
      <c r="L5" s="1380"/>
      <c r="P5" s="2273">
        <v>1</v>
      </c>
      <c r="Q5" s="1497"/>
      <c r="R5" s="372"/>
      <c r="S5" s="1509">
        <f>$I5</f>
      </c>
      <c r="T5" s="301" t="s">
        <v>636</v>
      </c>
      <c r="U5" s="316"/>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74" t="s">
        <v>637</v>
      </c>
      <c r="AU5" s="516"/>
      <c r="AV5" s="516" t="str">
        <f>IF(T5="","",T5)</f>
        <v>Наименование признака дифференциации</v>
      </c>
      <c r="AW5" s="516"/>
      <c r="AX5" s="516"/>
      <c r="AY5" s="1171">
        <v>0</v>
      </c>
    </row>
    <row customHeight="1" ht="23.25" hidden="1">
      <c r="A6" s="1379"/>
      <c r="B6" s="1379"/>
      <c r="C6" s="1379"/>
      <c r="D6" s="1379"/>
      <c r="E6" s="2275"/>
      <c r="F6" s="2275"/>
      <c r="G6" s="2275"/>
      <c r="H6" s="2275"/>
      <c r="I6" s="2302"/>
      <c r="J6" s="2272">
        <f>I5&amp;".1"</f>
      </c>
      <c r="K6" s="1379"/>
      <c r="L6" s="1380" t="s">
        <v>559</v>
      </c>
      <c r="P6" s="2273"/>
      <c r="Q6" s="2273">
        <v>1</v>
      </c>
      <c r="R6" s="373"/>
      <c r="S6" s="1509">
        <f>$J6</f>
      </c>
      <c r="T6" s="302" t="s">
        <v>560</v>
      </c>
      <c r="U6" s="316"/>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23" t="s">
        <v>638</v>
      </c>
      <c r="AU6" s="516"/>
      <c r="AV6" s="516" t="str">
        <f>IF(T6="","",T6)</f>
        <v>Группа потребителей</v>
      </c>
      <c r="AW6" s="516"/>
      <c r="AX6" s="516"/>
      <c r="AY6" s="1171">
        <v>0</v>
      </c>
    </row>
    <row customHeight="1" ht="23.25" hidden="1">
      <c r="A7" s="1379"/>
      <c r="B7" s="1379"/>
      <c r="C7" s="1379"/>
      <c r="D7" s="1379"/>
      <c r="E7" s="2275"/>
      <c r="F7" s="2275"/>
      <c r="G7" s="2275"/>
      <c r="H7" s="2275"/>
      <c r="I7" s="2302"/>
      <c r="J7" s="2302"/>
      <c r="K7" s="2272">
        <f>J6&amp;".1"</f>
      </c>
      <c r="L7" s="1380"/>
      <c r="P7" s="2273"/>
      <c r="Q7" s="2273"/>
      <c r="R7" s="373">
        <v>1</v>
      </c>
      <c r="S7" s="1509">
        <f>$K7</f>
      </c>
      <c r="T7" s="1453"/>
      <c r="U7" s="316"/>
      <c r="V7" s="767"/>
      <c r="W7" s="767"/>
      <c r="X7" s="767"/>
      <c r="Y7" s="767"/>
      <c r="Z7" s="767"/>
      <c r="AA7" s="767"/>
      <c r="AB7" s="1273"/>
      <c r="AC7" s="2281"/>
      <c r="AD7" s="2123" t="s">
        <v>64</v>
      </c>
      <c r="AE7" s="2281"/>
      <c r="AF7" s="2123" t="s">
        <v>64</v>
      </c>
      <c r="AG7" s="767"/>
      <c r="AH7" s="767"/>
      <c r="AI7" s="767"/>
      <c r="AJ7" s="767"/>
      <c r="AK7" s="767"/>
      <c r="AL7" s="767"/>
      <c r="AM7" s="1273"/>
      <c r="AN7" s="2281"/>
      <c r="AO7" s="2123" t="s">
        <v>64</v>
      </c>
      <c r="AP7" s="2303"/>
      <c r="AQ7" s="2123" t="s">
        <v>64</v>
      </c>
      <c r="AR7" s="1454"/>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7">
        <f>STRCHECKDATE(V8:AR8)</f>
      </c>
      <c r="AU7" s="516"/>
      <c r="AV7" s="516" t="str">
        <f>IF(T7="","",T7)</f>
        <v/>
      </c>
      <c r="AW7" s="516"/>
      <c r="AX7" s="516"/>
      <c r="AY7" s="1171">
        <v>0</v>
      </c>
    </row>
    <row customHeight="1" ht="14.25" hidden="1">
      <c r="A8" s="1379"/>
      <c r="B8" s="1379"/>
      <c r="C8" s="1379"/>
      <c r="D8" s="1379"/>
      <c r="E8" s="2275"/>
      <c r="F8" s="2275"/>
      <c r="G8" s="2275"/>
      <c r="H8" s="2275"/>
      <c r="I8" s="2302"/>
      <c r="J8" s="2302"/>
      <c r="K8" s="2272"/>
      <c r="L8" s="1380"/>
      <c r="P8" s="2273"/>
      <c r="Q8" s="2273"/>
      <c r="R8" s="373"/>
      <c r="S8" s="1506"/>
      <c r="T8" s="316"/>
      <c r="U8" s="316"/>
      <c r="V8" s="341"/>
      <c r="W8" s="341"/>
      <c r="X8" s="341"/>
      <c r="Y8" s="341"/>
      <c r="Z8" s="341"/>
      <c r="AA8" s="341"/>
      <c r="AB8" s="344" t="str">
        <f>AC7&amp;"-"&amp;AE7</f>
        <v>-</v>
      </c>
      <c r="AC8" s="2282"/>
      <c r="AD8" s="2123"/>
      <c r="AE8" s="2282"/>
      <c r="AF8" s="2123"/>
      <c r="AG8" s="341"/>
      <c r="AH8" s="341"/>
      <c r="AI8" s="341"/>
      <c r="AJ8" s="341"/>
      <c r="AK8" s="341"/>
      <c r="AL8" s="341"/>
      <c r="AM8" s="344" t="str">
        <f>AN7&amp;"-"&amp;AP7</f>
        <v>-</v>
      </c>
      <c r="AN8" s="2282"/>
      <c r="AO8" s="2123"/>
      <c r="AP8" s="2304"/>
      <c r="AQ8" s="2123"/>
      <c r="AR8" s="1455"/>
      <c r="AS8" s="2365"/>
      <c r="AU8" s="516"/>
      <c r="AV8" s="516" t="str">
        <f>IF(T8="","",T8)</f>
        <v/>
      </c>
      <c r="AW8" s="516"/>
      <c r="AX8" s="516"/>
      <c r="AY8" s="1171">
        <v>0</v>
      </c>
    </row>
    <row customHeight="1" ht="21" hidden="1">
      <c r="A9" s="1379"/>
      <c r="B9" s="1379"/>
      <c r="C9" s="1379"/>
      <c r="D9" s="1379"/>
      <c r="E9" s="2275"/>
      <c r="F9" s="2275"/>
      <c r="G9" s="2275"/>
      <c r="H9" s="2275"/>
      <c r="I9" s="2302"/>
      <c r="J9" s="2272"/>
      <c r="K9" s="1379"/>
      <c r="L9" s="1380"/>
      <c r="P9" s="2273"/>
      <c r="Q9" s="2273"/>
      <c r="R9" s="372"/>
      <c r="S9" s="1294"/>
      <c r="T9" s="303" t="s">
        <v>639</v>
      </c>
      <c r="U9" s="383"/>
      <c r="V9" s="383"/>
      <c r="W9" s="616"/>
      <c r="X9" s="616"/>
      <c r="Y9" s="616"/>
      <c r="Z9" s="616"/>
      <c r="AA9" s="616"/>
      <c r="AB9" s="383"/>
      <c r="AC9" s="383"/>
      <c r="AD9" s="383"/>
      <c r="AE9" s="383"/>
      <c r="AF9" s="383"/>
      <c r="AG9" s="383"/>
      <c r="AH9" s="616"/>
      <c r="AI9" s="616"/>
      <c r="AJ9" s="616"/>
      <c r="AK9" s="616"/>
      <c r="AL9" s="616"/>
      <c r="AM9" s="383"/>
      <c r="AN9" s="383"/>
      <c r="AO9" s="383"/>
      <c r="AP9" s="383"/>
      <c r="AQ9" s="383"/>
      <c r="AR9" s="383"/>
      <c r="AS9" s="1274" t="s">
        <v>640</v>
      </c>
      <c r="AU9" s="516"/>
      <c r="AV9" s="516" t="str">
        <f>IF(T9="","",T9)</f>
        <v>Добавить значение признака дифференциации</v>
      </c>
      <c r="AW9" s="516"/>
      <c r="AX9" s="516"/>
      <c r="AY9" s="1171">
        <v>0</v>
      </c>
    </row>
    <row customHeight="1" ht="21" hidden="1">
      <c r="A10" s="1379"/>
      <c r="B10" s="1379"/>
      <c r="C10" s="1379"/>
      <c r="D10" s="1379"/>
      <c r="E10" s="2275"/>
      <c r="F10" s="2275"/>
      <c r="G10" s="2275"/>
      <c r="H10" s="2275"/>
      <c r="I10" s="2272"/>
      <c r="J10" s="1379"/>
      <c r="K10" s="1379"/>
      <c r="L10" s="1380"/>
      <c r="P10" s="2273"/>
      <c r="Q10" s="1497"/>
      <c r="R10" s="372"/>
      <c r="S10" s="1294"/>
      <c r="T10" s="381" t="s">
        <v>565</v>
      </c>
      <c r="U10" s="383"/>
      <c r="V10" s="383"/>
      <c r="W10" s="616"/>
      <c r="X10" s="616"/>
      <c r="Y10" s="616"/>
      <c r="Z10" s="616"/>
      <c r="AA10" s="616"/>
      <c r="AB10" s="383"/>
      <c r="AC10" s="383"/>
      <c r="AD10" s="383"/>
      <c r="AE10" s="383"/>
      <c r="AF10" s="382"/>
      <c r="AG10" s="383"/>
      <c r="AH10" s="616"/>
      <c r="AI10" s="616"/>
      <c r="AJ10" s="616"/>
      <c r="AK10" s="616"/>
      <c r="AL10" s="616"/>
      <c r="AM10" s="383"/>
      <c r="AN10" s="383"/>
      <c r="AO10" s="383"/>
      <c r="AP10" s="383"/>
      <c r="AQ10" s="382"/>
      <c r="AR10" s="383"/>
      <c r="AS10" s="1456"/>
      <c r="AU10" s="516"/>
      <c r="AV10" s="516" t="str">
        <f>IF(T10="","",T10)</f>
        <v>Добавить группу потребителей</v>
      </c>
      <c r="AW10" s="516"/>
      <c r="AX10" s="516"/>
      <c r="AY10" s="1171">
        <v>0</v>
      </c>
    </row>
    <row customHeight="1" ht="21" hidden="1">
      <c r="A11" s="1379"/>
      <c r="B11" s="1379"/>
      <c r="C11" s="1379"/>
      <c r="D11" s="1379"/>
      <c r="E11" s="2275"/>
      <c r="F11" s="2275"/>
      <c r="G11" s="2275"/>
      <c r="H11" s="2274"/>
      <c r="I11" s="1379"/>
      <c r="J11" s="1379"/>
      <c r="K11" s="1379"/>
      <c r="L11" s="1380"/>
      <c r="M11" s="1381"/>
      <c r="N11" s="1381"/>
      <c r="O11" s="553"/>
      <c r="P11" s="376"/>
      <c r="Q11" s="391"/>
      <c r="R11" s="371"/>
      <c r="S11" s="1294"/>
      <c r="T11" s="388" t="s">
        <v>641</v>
      </c>
      <c r="U11" s="383"/>
      <c r="V11" s="383"/>
      <c r="W11" s="616"/>
      <c r="X11" s="616"/>
      <c r="Y11" s="616"/>
      <c r="Z11" s="616"/>
      <c r="AA11" s="616"/>
      <c r="AB11" s="383"/>
      <c r="AC11" s="383"/>
      <c r="AD11" s="383"/>
      <c r="AE11" s="383"/>
      <c r="AF11" s="382"/>
      <c r="AG11" s="383"/>
      <c r="AH11" s="616"/>
      <c r="AI11" s="616"/>
      <c r="AJ11" s="616"/>
      <c r="AK11" s="616"/>
      <c r="AL11" s="616"/>
      <c r="AM11" s="383"/>
      <c r="AN11" s="383"/>
      <c r="AO11" s="383"/>
      <c r="AP11" s="383"/>
      <c r="AQ11" s="382"/>
      <c r="AR11" s="383"/>
      <c r="AS11" s="319"/>
      <c r="AU11" s="516"/>
      <c r="AV11" s="516" t="str">
        <f>IF(T11="","",T11)</f>
        <v>Добавить наименование признака дифференциации</v>
      </c>
      <c r="AW11" s="516"/>
      <c r="AX11" s="516"/>
      <c r="AY11" s="1171">
        <v>0</v>
      </c>
    </row>
    <row s="1658" customFormat="1" customHeight="1" ht="14.25" hidden="1">
      <c r="A12" s="1359"/>
      <c r="B12" s="1359"/>
      <c r="C12" s="1330"/>
      <c r="D12" s="1330"/>
      <c r="E12" s="2275"/>
      <c r="F12" s="2274"/>
      <c r="G12" s="1330"/>
      <c r="H12" s="1330"/>
      <c r="I12" s="1330"/>
      <c r="J12" s="1330"/>
      <c r="K12" s="1330"/>
      <c r="L12" s="1510"/>
      <c r="M12" s="1337"/>
      <c r="N12" s="1337"/>
      <c r="P12" s="1332"/>
      <c r="Q12" s="1333"/>
      <c r="R12" s="1332"/>
      <c r="S12" s="1338"/>
      <c r="T12" s="1341" t="s">
        <v>269</v>
      </c>
      <c r="U12" s="1340"/>
      <c r="V12" s="1340"/>
      <c r="W12" s="1340"/>
      <c r="X12" s="1340"/>
      <c r="Y12" s="1340"/>
      <c r="Z12" s="1340"/>
      <c r="AA12" s="1340"/>
      <c r="AB12" s="1340"/>
      <c r="AC12" s="1340"/>
      <c r="AD12" s="1340"/>
      <c r="AE12" s="1340"/>
      <c r="AF12" s="1340"/>
      <c r="AG12" s="1340"/>
      <c r="AH12" s="1340"/>
      <c r="AI12" s="1340"/>
      <c r="AJ12" s="1340"/>
      <c r="AK12" s="1340"/>
      <c r="AL12" s="1340"/>
      <c r="AM12" s="1340"/>
      <c r="AN12" s="1340"/>
      <c r="AO12" s="1340"/>
      <c r="AP12" s="1340"/>
      <c r="AQ12" s="1340"/>
      <c r="AR12" s="1340"/>
      <c r="AS12" s="1340"/>
      <c r="AU12" s="805"/>
      <c r="AV12" s="805" t="str">
        <f>IF(T12="","",T12)</f>
        <v>Добавить централизованную систему для дифференциации</v>
      </c>
      <c r="AW12" s="805"/>
      <c r="AX12" s="805"/>
      <c r="AY12" s="534">
        <v>0</v>
      </c>
    </row>
    <row s="1658" customFormat="1" customHeight="1" ht="14.25" hidden="1">
      <c r="A13" s="1359"/>
      <c r="B13" s="1359"/>
      <c r="C13" s="1359"/>
      <c r="D13" s="1359"/>
      <c r="E13" s="2274"/>
      <c r="F13" s="1359"/>
      <c r="G13" s="1359"/>
      <c r="H13" s="1359"/>
      <c r="I13" s="1359"/>
      <c r="J13" s="1359"/>
      <c r="K13" s="1359"/>
      <c r="L13" s="1362"/>
      <c r="M13" s="1337"/>
      <c r="N13" s="1337"/>
      <c r="O13" s="534"/>
      <c r="P13" s="396"/>
      <c r="Q13" s="1360"/>
      <c r="R13" s="396"/>
      <c r="S13" s="1338"/>
      <c r="T13" s="1341" t="s">
        <v>330</v>
      </c>
      <c r="U13" s="1340"/>
      <c r="V13" s="1340"/>
      <c r="W13" s="1340"/>
      <c r="X13" s="1340"/>
      <c r="Y13" s="1340"/>
      <c r="Z13" s="1340"/>
      <c r="AA13" s="1340"/>
      <c r="AB13" s="1340"/>
      <c r="AC13" s="1340"/>
      <c r="AD13" s="1340"/>
      <c r="AE13" s="1340"/>
      <c r="AF13" s="1340"/>
      <c r="AG13" s="1340"/>
      <c r="AH13" s="1340"/>
      <c r="AI13" s="1340"/>
      <c r="AJ13" s="1340"/>
      <c r="AK13" s="1340"/>
      <c r="AL13" s="1340"/>
      <c r="AM13" s="1340"/>
      <c r="AN13" s="1340"/>
      <c r="AO13" s="1340"/>
      <c r="AP13" s="1340"/>
      <c r="AQ13" s="1340"/>
      <c r="AR13" s="1340"/>
      <c r="AS13" s="1340"/>
      <c r="AU13" s="516"/>
      <c r="AV13" s="516" t="str">
        <f>IF(T13="","",T13)</f>
        <v>Добавить территорию для дифференциации</v>
      </c>
      <c r="AW13" s="516"/>
      <c r="AX13" s="516"/>
      <c r="AY13" s="527">
        <v>0</v>
      </c>
    </row>
    <row customHeight="1" ht="14.25" hidden="1">
      <c r="AF14" s="343"/>
      <c r="AQ14" s="343"/>
      <c r="AY14" s="1171">
        <v>0</v>
      </c>
    </row>
    <row customHeight="1" ht="14.25" hidden="1">
      <c r="AG15" s="1376"/>
      <c r="AH15" s="1376"/>
      <c r="AI15" s="1376"/>
      <c r="AJ15" s="1376"/>
      <c r="AK15" s="1376"/>
      <c r="AL15" s="1376"/>
      <c r="AM15" s="1377"/>
      <c r="AN15" s="2283"/>
      <c r="AO15" s="2284" t="s">
        <v>64</v>
      </c>
      <c r="AP15" s="2283"/>
      <c r="AQ15" s="2284" t="s">
        <v>64</v>
      </c>
      <c r="AY15" s="1171">
        <v>0</v>
      </c>
    </row>
    <row customHeight="1" ht="14.25" hidden="1">
      <c r="AG16" s="1376"/>
      <c r="AH16" s="1376"/>
      <c r="AI16" s="1376"/>
      <c r="AJ16" s="1376"/>
      <c r="AK16" s="1376"/>
      <c r="AL16" s="1376"/>
      <c r="AM16" s="344" t="str">
        <f>AN15&amp;"-"&amp;AP15</f>
        <v>-</v>
      </c>
      <c r="AN16" s="2284"/>
      <c r="AO16" s="2284"/>
      <c r="AP16" s="2284"/>
      <c r="AQ16" s="2284"/>
      <c r="AY16" s="1171">
        <v>0</v>
      </c>
    </row>
    <row customHeight="1" ht="14.25" hidden="1">
      <c r="AQ17" s="343"/>
      <c r="AY17" s="1171">
        <v>0</v>
      </c>
    </row>
    <row s="1382" customFormat="1" customHeight="1" ht="22.5" hidden="1">
      <c r="L18" s="1494"/>
      <c r="M18" s="1378"/>
      <c r="N18" s="1378"/>
      <c r="O18" s="1383" t="s">
        <v>567</v>
      </c>
      <c r="P18" s="1378"/>
      <c r="Q18" s="1387"/>
      <c r="R18" s="1387"/>
      <c r="S18" s="745"/>
      <c r="W18" s="1382"/>
      <c r="X18" s="1382"/>
      <c r="Y18" s="1382"/>
      <c r="Z18" s="1382"/>
      <c r="AA18" s="1382"/>
      <c r="AC18" s="1383"/>
      <c r="AE18" s="1383"/>
      <c r="AF18" s="1382"/>
      <c r="AH18" s="1382"/>
      <c r="AI18" s="1382"/>
      <c r="AJ18" s="1382"/>
      <c r="AK18" s="1382"/>
      <c r="AL18" s="1382"/>
      <c r="AN18" s="1383"/>
      <c r="AP18" s="1383"/>
      <c r="AQ18" s="1382"/>
      <c r="AT18" s="527"/>
      <c r="AU18" s="527"/>
      <c r="AV18" s="527"/>
      <c r="AW18" s="527"/>
      <c r="AX18" s="527"/>
      <c r="AY18" s="1176">
        <v>0</v>
      </c>
    </row>
    <row s="1382" customFormat="1" customHeight="1" ht="14.25" hidden="1">
      <c r="L19" s="1494"/>
      <c r="M19" s="1378"/>
      <c r="N19" s="1378"/>
      <c r="O19" s="1378"/>
      <c r="P19" s="1378"/>
      <c r="Q19" s="1387"/>
      <c r="R19" s="1387"/>
      <c r="S19" s="745"/>
      <c r="W19" s="1382"/>
      <c r="X19" s="1382"/>
      <c r="Y19" s="1382"/>
      <c r="Z19" s="1382"/>
      <c r="AA19" s="1382"/>
      <c r="AF19" s="1382"/>
      <c r="AH19" s="1382"/>
      <c r="AI19" s="1382"/>
      <c r="AJ19" s="1382"/>
      <c r="AK19" s="1382"/>
      <c r="AL19" s="1382"/>
      <c r="AQ19" s="1382"/>
      <c r="AT19" s="527"/>
      <c r="AU19" s="527"/>
      <c r="AV19" s="527"/>
      <c r="AW19" s="527"/>
      <c r="AX19" s="527"/>
      <c r="AY19" s="1176">
        <v>0</v>
      </c>
    </row>
    <row s="1382" customFormat="1" customHeight="1" ht="12" hidden="1">
      <c r="L20" s="1494"/>
      <c r="M20" s="1378"/>
      <c r="N20" s="1378"/>
      <c r="O20" s="1380" t="s">
        <v>568</v>
      </c>
      <c r="P20" s="1378"/>
      <c r="Q20" s="1458"/>
      <c r="R20" s="1458"/>
      <c r="S20" s="745"/>
      <c r="T20" s="1176" t="s">
        <v>569</v>
      </c>
      <c r="W20" s="1382"/>
      <c r="X20" s="1382"/>
      <c r="Y20" s="1382"/>
      <c r="Z20" s="1382"/>
      <c r="AA20" s="1382"/>
      <c r="AD20" s="202" t="s">
        <v>570</v>
      </c>
      <c r="AF20" s="202" t="s">
        <v>571</v>
      </c>
      <c r="AG20" s="1176" t="s">
        <v>569</v>
      </c>
      <c r="AH20" s="1382"/>
      <c r="AI20" s="1382"/>
      <c r="AJ20" s="1382"/>
      <c r="AK20" s="1382"/>
      <c r="AL20" s="1382"/>
      <c r="AO20" s="202" t="s">
        <v>572</v>
      </c>
      <c r="AQ20" s="202" t="s">
        <v>571</v>
      </c>
      <c r="AY20" s="1176">
        <v>0</v>
      </c>
    </row>
    <row customHeight="1" ht="14.25" hidden="1">
      <c r="O21" s="1380"/>
      <c r="AY21" s="1171">
        <v>0</v>
      </c>
    </row>
    <row customHeight="1" ht="14.25" hidden="1">
      <c r="O22" s="1380"/>
      <c r="AY22" s="1171">
        <v>0</v>
      </c>
    </row>
    <row customHeight="1" ht="14.699999999999998">
      <c r="Q23" s="392"/>
      <c r="R23" s="392"/>
      <c r="S23" s="1291"/>
      <c r="T23" s="379"/>
      <c r="U23" s="379"/>
      <c r="V23" s="525"/>
      <c r="W23" s="1651"/>
      <c r="X23" s="1651"/>
      <c r="Y23" s="1651"/>
      <c r="Z23" s="1651"/>
      <c r="AA23" s="1651"/>
      <c r="AB23" s="525"/>
      <c r="AC23" s="525"/>
      <c r="AD23" s="525"/>
      <c r="AE23" s="525"/>
      <c r="AF23" s="525"/>
      <c r="AG23" s="525"/>
      <c r="AH23" s="1651"/>
      <c r="AI23" s="1651"/>
      <c r="AJ23" s="1651"/>
      <c r="AK23" s="1651"/>
      <c r="AL23" s="1651"/>
      <c r="AM23" s="525"/>
      <c r="AN23" s="525"/>
      <c r="AO23" s="525"/>
      <c r="AP23" s="525"/>
      <c r="AQ23" s="525"/>
      <c r="AY23" s="1171">
        <v>14</v>
      </c>
    </row>
    <row customHeight="1" ht="26.25">
      <c r="Q24" s="392"/>
      <c r="R24" s="392"/>
      <c r="S24" s="226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59"/>
      <c r="AY24" s="1171">
        <v>25</v>
      </c>
    </row>
    <row customHeight="1" ht="14.699999999999998">
      <c r="Q25" s="392"/>
      <c r="R25" s="392"/>
      <c r="S25" s="2265" t="str">
        <f>IF(org=0,"Не определено",org)</f>
        <v>КГУП "Примтеплоэнерго"</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59"/>
      <c r="AY25" s="1171">
        <v>14</v>
      </c>
    </row>
    <row customHeight="1" ht="14.25">
      <c r="Q26" s="392"/>
      <c r="R26" s="392"/>
      <c r="S26" s="1291"/>
      <c r="T26" s="379"/>
      <c r="U26" s="379"/>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525"/>
      <c r="AY26" s="1171">
        <v>0</v>
      </c>
    </row>
    <row s="1869" customFormat="1" customHeight="1" ht="25.5">
      <c r="A27" s="1384"/>
      <c r="B27" s="1384"/>
      <c r="C27" s="1384"/>
      <c r="D27" s="1384"/>
      <c r="E27" s="1384"/>
      <c r="F27" s="1384"/>
      <c r="G27" s="1384"/>
      <c r="H27" s="1384"/>
      <c r="I27" s="1384"/>
      <c r="J27" s="1384"/>
      <c r="K27" s="1384"/>
      <c r="L27" s="1385"/>
      <c r="M27" s="1384"/>
      <c r="N27" s="1384"/>
      <c r="O27" s="1384"/>
      <c r="S27" s="2266" t="s">
        <v>42</v>
      </c>
      <c r="T27" s="2266"/>
      <c r="U27" s="1388"/>
      <c r="V27" s="2267" t="str">
        <f>IF(TITLE_NAME_OR_PR_CHANGE="",IF(TITLE_NAME_OR_PR="","",TITLE_NAME_OR_PR),TITLE_NAME_OR_PR_CHANGE)</f>
        <v>Агентство по тарифам Приморского края</v>
      </c>
      <c r="W27" s="2267"/>
      <c r="X27" s="2267"/>
      <c r="Y27" s="2267"/>
      <c r="Z27" s="2267"/>
      <c r="AA27" s="2267"/>
      <c r="AB27" s="2267"/>
      <c r="AC27" s="2267"/>
      <c r="AD27" s="2267"/>
      <c r="AE27" s="2267"/>
      <c r="AF27" s="342"/>
      <c r="AG27" s="2267" t="str">
        <f>IF(TITLE_NAME_OR_PR_CHANGE="",IF(TITLE_NAME_OR_PR="","",TITLE_NAME_OR_PR),TITLE_NAME_OR_PR_CHANGE)</f>
        <v>Агентство по тарифам Приморского края</v>
      </c>
      <c r="AH27" s="2267"/>
      <c r="AI27" s="2267"/>
      <c r="AJ27" s="2267"/>
      <c r="AK27" s="2267"/>
      <c r="AL27" s="2267"/>
      <c r="AM27" s="2267"/>
      <c r="AN27" s="2267"/>
      <c r="AO27" s="2267"/>
      <c r="AP27" s="2267"/>
      <c r="AQ27" s="342"/>
      <c r="AR27" s="342"/>
      <c r="AS27" s="296"/>
      <c r="AT27" s="384"/>
      <c r="AU27" s="384"/>
      <c r="AV27" s="384"/>
      <c r="AW27" s="384"/>
      <c r="AX27" s="384"/>
      <c r="AY27" s="434">
        <v>0</v>
      </c>
    </row>
    <row s="1869" customFormat="1" customHeight="1" ht="18.75">
      <c r="A28" s="1384"/>
      <c r="B28" s="1384"/>
      <c r="C28" s="1384"/>
      <c r="D28" s="1384"/>
      <c r="E28" s="1384"/>
      <c r="F28" s="1384"/>
      <c r="G28" s="1384"/>
      <c r="H28" s="1384"/>
      <c r="I28" s="1384"/>
      <c r="J28" s="1384"/>
      <c r="K28" s="1384"/>
      <c r="L28" s="1385"/>
      <c r="M28" s="1384"/>
      <c r="N28" s="1384"/>
      <c r="O28" s="1384"/>
      <c r="S28" s="2266" t="s">
        <v>573</v>
      </c>
      <c r="T28" s="2266"/>
      <c r="U28" s="1388"/>
      <c r="V28" s="2280" t="str">
        <f>IF(TITLE_DATE_PR_CHANGE="",IF(TITLE_DATE_PR="","",TITLE_DATE_PR),TITLE_DATE_PR_CHANGE)</f>
        <v>45910</v>
      </c>
      <c r="W28" s="2280"/>
      <c r="X28" s="2280"/>
      <c r="Y28" s="2280"/>
      <c r="Z28" s="2280"/>
      <c r="AA28" s="2280"/>
      <c r="AB28" s="2280"/>
      <c r="AC28" s="2280"/>
      <c r="AD28" s="2280"/>
      <c r="AE28" s="2280"/>
      <c r="AF28" s="342"/>
      <c r="AG28" s="2280" t="str">
        <f>IF(TITLE_DATE_PR_CHANGE="",IF(TITLE_DATE_PR="","",TITLE_DATE_PR),TITLE_DATE_PR_CHANGE)</f>
        <v>45910</v>
      </c>
      <c r="AH28" s="2280"/>
      <c r="AI28" s="2280"/>
      <c r="AJ28" s="2280"/>
      <c r="AK28" s="2280"/>
      <c r="AL28" s="2280"/>
      <c r="AM28" s="2280"/>
      <c r="AN28" s="2280"/>
      <c r="AO28" s="2280"/>
      <c r="AP28" s="2280"/>
      <c r="AQ28" s="342"/>
      <c r="AR28" s="342"/>
      <c r="AS28" s="296"/>
      <c r="AT28" s="384"/>
      <c r="AU28" s="384"/>
      <c r="AV28" s="384"/>
      <c r="AW28" s="384"/>
      <c r="AX28" s="384"/>
      <c r="AY28" s="434">
        <v>0</v>
      </c>
    </row>
    <row s="1869" customFormat="1" customHeight="1" ht="18.75">
      <c r="A29" s="1384"/>
      <c r="B29" s="1384"/>
      <c r="C29" s="1384"/>
      <c r="D29" s="1384"/>
      <c r="E29" s="1384"/>
      <c r="F29" s="1384"/>
      <c r="G29" s="1384"/>
      <c r="H29" s="1384"/>
      <c r="I29" s="1384"/>
      <c r="J29" s="1384"/>
      <c r="K29" s="1384"/>
      <c r="L29" s="1385"/>
      <c r="M29" s="1384"/>
      <c r="N29" s="1384"/>
      <c r="O29" s="1384"/>
      <c r="S29" s="2266" t="s">
        <v>574</v>
      </c>
      <c r="T29" s="2266"/>
      <c r="U29" s="1388"/>
      <c r="V29" s="2267" t="str">
        <f>IF(TITLE_NUMBER_PR_CHANGE="",IF(TITLE_NUMBER_PR="","",TITLE_NUMBER_PR),TITLE_NUMBER_PR_CHANGE)</f>
        <v>37/2</v>
      </c>
      <c r="W29" s="2267"/>
      <c r="X29" s="2267"/>
      <c r="Y29" s="2267"/>
      <c r="Z29" s="2267"/>
      <c r="AA29" s="2267"/>
      <c r="AB29" s="2267"/>
      <c r="AC29" s="2267"/>
      <c r="AD29" s="2267"/>
      <c r="AE29" s="2267"/>
      <c r="AF29" s="342"/>
      <c r="AG29" s="2267" t="str">
        <f>IF(TITLE_NUMBER_PR_CHANGE="",IF(TITLE_NUMBER_PR="","",TITLE_NUMBER_PR),TITLE_NUMBER_PR_CHANGE)</f>
        <v>37/2</v>
      </c>
      <c r="AH29" s="2267"/>
      <c r="AI29" s="2267"/>
      <c r="AJ29" s="2267"/>
      <c r="AK29" s="2267"/>
      <c r="AL29" s="2267"/>
      <c r="AM29" s="2267"/>
      <c r="AN29" s="2267"/>
      <c r="AO29" s="2267"/>
      <c r="AP29" s="2267"/>
      <c r="AQ29" s="342"/>
      <c r="AR29" s="342"/>
      <c r="AS29" s="296"/>
      <c r="AT29" s="384"/>
      <c r="AU29" s="384"/>
      <c r="AV29" s="384"/>
      <c r="AW29" s="384"/>
      <c r="AX29" s="384"/>
      <c r="AY29" s="434">
        <v>0</v>
      </c>
    </row>
    <row s="1869" customFormat="1" customHeight="1" ht="18.75">
      <c r="A30" s="1384"/>
      <c r="B30" s="1384"/>
      <c r="C30" s="1384"/>
      <c r="D30" s="1384"/>
      <c r="E30" s="1384"/>
      <c r="F30" s="1384"/>
      <c r="G30" s="1384"/>
      <c r="H30" s="1384"/>
      <c r="I30" s="1384"/>
      <c r="J30" s="1384"/>
      <c r="K30" s="1384"/>
      <c r="L30" s="1385"/>
      <c r="M30" s="1384"/>
      <c r="N30" s="1384"/>
      <c r="O30" s="1384"/>
      <c r="S30" s="2266" t="s">
        <v>44</v>
      </c>
      <c r="T30" s="2266"/>
      <c r="U30" s="1388"/>
      <c r="V30" s="2267" t="str">
        <f>IF(TITLE_IST_PUB_CHANGE="",IF(TITLE_IST_PUB="","",TITLE_IST_PUB),TITLE_IST_PUB_CHANGE)</f>
        <v>http://pravo.gov.ru</v>
      </c>
      <c r="W30" s="2267"/>
      <c r="X30" s="2267"/>
      <c r="Y30" s="2267"/>
      <c r="Z30" s="2267"/>
      <c r="AA30" s="2267"/>
      <c r="AB30" s="2267"/>
      <c r="AC30" s="2267"/>
      <c r="AD30" s="2267"/>
      <c r="AE30" s="2267"/>
      <c r="AF30" s="342"/>
      <c r="AG30" s="2267" t="str">
        <f>IF(TITLE_IST_PUB_CHANGE="",IF(TITLE_IST_PUB="","",TITLE_IST_PUB),TITLE_IST_PUB_CHANGE)</f>
        <v>http://pravo.gov.ru</v>
      </c>
      <c r="AH30" s="2267"/>
      <c r="AI30" s="2267"/>
      <c r="AJ30" s="2267"/>
      <c r="AK30" s="2267"/>
      <c r="AL30" s="2267"/>
      <c r="AM30" s="2267"/>
      <c r="AN30" s="2267"/>
      <c r="AO30" s="2267"/>
      <c r="AP30" s="2267"/>
      <c r="AQ30" s="342"/>
      <c r="AR30" s="342"/>
      <c r="AS30" s="296"/>
      <c r="AT30" s="384"/>
      <c r="AU30" s="384"/>
      <c r="AV30" s="384"/>
      <c r="AW30" s="384"/>
      <c r="AX30" s="384"/>
      <c r="AY30" s="434">
        <v>0</v>
      </c>
    </row>
    <row customHeight="1" ht="14.25" hidden="1">
      <c r="Q31" s="392"/>
      <c r="R31" s="392"/>
      <c r="S31" s="1291"/>
      <c r="T31" s="379"/>
      <c r="U31" s="379"/>
      <c r="V31" s="338"/>
      <c r="W31" s="338"/>
      <c r="X31" s="338"/>
      <c r="Y31" s="338"/>
      <c r="Z31" s="338"/>
      <c r="AA31" s="338"/>
      <c r="AB31" s="338"/>
      <c r="AC31" s="338"/>
      <c r="AD31" s="338"/>
      <c r="AE31" s="338"/>
      <c r="AF31" s="338"/>
      <c r="AG31" s="338"/>
      <c r="AH31" s="338"/>
      <c r="AI31" s="338"/>
      <c r="AJ31" s="338"/>
      <c r="AK31" s="338"/>
      <c r="AL31" s="338"/>
      <c r="AM31" s="338"/>
      <c r="AN31" s="338"/>
      <c r="AO31" s="338"/>
      <c r="AP31" s="338"/>
      <c r="AQ31" s="338"/>
      <c r="AR31" s="525"/>
      <c r="AY31" s="1171">
        <v>0</v>
      </c>
    </row>
    <row s="1869" customFormat="1" customHeight="1" ht="18.75" hidden="1">
      <c r="A32" s="1384"/>
      <c r="B32" s="1384"/>
      <c r="C32" s="1384"/>
      <c r="D32" s="1384"/>
      <c r="E32" s="1384"/>
      <c r="F32" s="1384"/>
      <c r="G32" s="1384"/>
      <c r="H32" s="1384"/>
      <c r="I32" s="1384"/>
      <c r="J32" s="1384"/>
      <c r="K32" s="1384"/>
      <c r="L32" s="1385"/>
      <c r="M32" s="1384"/>
      <c r="N32" s="1384"/>
      <c r="O32" s="1384"/>
      <c r="S32" s="2266" t="s">
        <v>575</v>
      </c>
      <c r="T32" s="2266"/>
      <c r="U32" s="1388"/>
      <c r="V32" s="2280" t="str">
        <f>IF(TITLE_DATE_PR_CHANGE="",IF(TITLE_DATE_PR="","",TITLE_DATE_PR),TITLE_DATE_PR_CHANGE)</f>
        <v>45910</v>
      </c>
      <c r="W32" s="2280"/>
      <c r="X32" s="2280"/>
      <c r="Y32" s="2280"/>
      <c r="Z32" s="2280"/>
      <c r="AA32" s="2280"/>
      <c r="AB32" s="2280"/>
      <c r="AC32" s="2280"/>
      <c r="AD32" s="2280"/>
      <c r="AE32" s="2280"/>
      <c r="AF32" s="342"/>
      <c r="AG32" s="2280" t="str">
        <f>IF(TITLE_DATE_PR_CHANGE="",IF(TITLE_DATE_PR="","",TITLE_DATE_PR),TITLE_DATE_PR_CHANGE)</f>
        <v>45910</v>
      </c>
      <c r="AH32" s="2280"/>
      <c r="AI32" s="2280"/>
      <c r="AJ32" s="2280"/>
      <c r="AK32" s="2280"/>
      <c r="AL32" s="2280"/>
      <c r="AM32" s="2280"/>
      <c r="AN32" s="2280"/>
      <c r="AO32" s="2280"/>
      <c r="AP32" s="2280"/>
      <c r="AQ32" s="342"/>
      <c r="AR32" s="342"/>
      <c r="AS32" s="296"/>
      <c r="AT32" s="384"/>
      <c r="AU32" s="384"/>
      <c r="AV32" s="384"/>
      <c r="AW32" s="384"/>
      <c r="AX32" s="384"/>
      <c r="AY32" s="434">
        <v>0</v>
      </c>
    </row>
    <row s="1869" customFormat="1" customHeight="1" ht="18.75" hidden="1">
      <c r="A33" s="1384"/>
      <c r="B33" s="1384"/>
      <c r="C33" s="1384"/>
      <c r="D33" s="1384"/>
      <c r="E33" s="1384"/>
      <c r="F33" s="1384"/>
      <c r="G33" s="1384"/>
      <c r="H33" s="1384"/>
      <c r="I33" s="1384"/>
      <c r="J33" s="1384"/>
      <c r="K33" s="1384"/>
      <c r="L33" s="1385"/>
      <c r="M33" s="1384"/>
      <c r="N33" s="1384"/>
      <c r="O33" s="1384"/>
      <c r="S33" s="2266" t="s">
        <v>576</v>
      </c>
      <c r="T33" s="2266"/>
      <c r="U33" s="1388"/>
      <c r="V33" s="2267" t="str">
        <f>IF(TITLE_NUMBER_PR_CHANGE="",IF(TITLE_NUMBER_PR="","",TITLE_NUMBER_PR),TITLE_NUMBER_PR_CHANGE)</f>
        <v>37/2</v>
      </c>
      <c r="W33" s="2267"/>
      <c r="X33" s="2267"/>
      <c r="Y33" s="2267"/>
      <c r="Z33" s="2267"/>
      <c r="AA33" s="2267"/>
      <c r="AB33" s="2267"/>
      <c r="AC33" s="2267"/>
      <c r="AD33" s="2267"/>
      <c r="AE33" s="2267"/>
      <c r="AF33" s="342"/>
      <c r="AG33" s="2267" t="str">
        <f>IF(TITLE_NUMBER_PR_CHANGE="",IF(TITLE_NUMBER_PR="","",TITLE_NUMBER_PR),TITLE_NUMBER_PR_CHANGE)</f>
        <v>37/2</v>
      </c>
      <c r="AH33" s="2267"/>
      <c r="AI33" s="2267"/>
      <c r="AJ33" s="2267"/>
      <c r="AK33" s="2267"/>
      <c r="AL33" s="2267"/>
      <c r="AM33" s="2267"/>
      <c r="AN33" s="2267"/>
      <c r="AO33" s="2267"/>
      <c r="AP33" s="2267"/>
      <c r="AQ33" s="342"/>
      <c r="AR33" s="342"/>
      <c r="AS33" s="296"/>
      <c r="AT33" s="384"/>
      <c r="AU33" s="384"/>
      <c r="AV33" s="384"/>
      <c r="AW33" s="384"/>
      <c r="AX33" s="384"/>
      <c r="AY33" s="434">
        <v>0</v>
      </c>
    </row>
    <row s="1869" customFormat="1" customHeight="1" ht="1.05">
      <c r="A34" s="1384"/>
      <c r="B34" s="1384"/>
      <c r="C34" s="1384"/>
      <c r="D34" s="1384"/>
      <c r="E34" s="1384"/>
      <c r="F34" s="1384"/>
      <c r="G34" s="1384"/>
      <c r="H34" s="1384"/>
      <c r="I34" s="1384"/>
      <c r="J34" s="1384"/>
      <c r="K34" s="1384"/>
      <c r="L34" s="1385"/>
      <c r="M34" s="1384"/>
      <c r="N34" s="1384"/>
      <c r="O34" s="1384"/>
      <c r="S34" s="339"/>
      <c r="T34" s="339"/>
      <c r="U34" s="1504"/>
      <c r="V34" s="342"/>
      <c r="W34" s="1651"/>
      <c r="X34" s="1651"/>
      <c r="Y34" s="1651"/>
      <c r="Z34" s="1651"/>
      <c r="AA34" s="1651"/>
      <c r="AB34" s="342"/>
      <c r="AC34" s="342"/>
      <c r="AD34" s="342"/>
      <c r="AE34" s="342"/>
      <c r="AF34" s="294" t="s">
        <v>577</v>
      </c>
      <c r="AG34" s="342"/>
      <c r="AH34" s="1651"/>
      <c r="AI34" s="1651"/>
      <c r="AJ34" s="1651"/>
      <c r="AK34" s="1651"/>
      <c r="AL34" s="1651"/>
      <c r="AM34" s="342"/>
      <c r="AN34" s="342"/>
      <c r="AO34" s="342"/>
      <c r="AP34" s="342"/>
      <c r="AQ34" s="294" t="s">
        <v>577</v>
      </c>
      <c r="AT34" s="384"/>
      <c r="AU34" s="384"/>
      <c r="AV34" s="384"/>
      <c r="AW34" s="384"/>
      <c r="AX34" s="384"/>
      <c r="AY34" s="434">
        <v>1</v>
      </c>
    </row>
    <row customHeight="1" ht="14.699999999999998">
      <c r="Q35" s="392"/>
      <c r="R35" s="392"/>
      <c r="S35" s="1291"/>
      <c r="T35" s="379"/>
      <c r="U35" s="1260"/>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71">
        <v>14</v>
      </c>
    </row>
    <row customHeight="1" ht="14.699999999999998">
      <c r="Q36" s="392"/>
      <c r="R36" s="392"/>
      <c r="S36" s="2143" t="s">
        <v>453</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454</v>
      </c>
      <c r="AY36" s="1171">
        <v>14</v>
      </c>
    </row>
    <row customHeight="1" ht="14.699999999999998">
      <c r="Q37" s="392"/>
      <c r="R37" s="392"/>
      <c r="S37" s="2289" t="s">
        <v>91</v>
      </c>
      <c r="T37" s="2225" t="s">
        <v>578</v>
      </c>
      <c r="U37" s="317"/>
      <c r="V37" s="2290" t="s">
        <v>579</v>
      </c>
      <c r="W37" s="2291"/>
      <c r="X37" s="2291"/>
      <c r="Y37" s="2291"/>
      <c r="Z37" s="2291"/>
      <c r="AA37" s="2291"/>
      <c r="AB37" s="2291"/>
      <c r="AC37" s="2291"/>
      <c r="AD37" s="2291"/>
      <c r="AE37" s="2292"/>
      <c r="AF37" s="2293" t="s">
        <v>580</v>
      </c>
      <c r="AG37" s="2290" t="s">
        <v>579</v>
      </c>
      <c r="AH37" s="2291"/>
      <c r="AI37" s="2291"/>
      <c r="AJ37" s="2291"/>
      <c r="AK37" s="2291"/>
      <c r="AL37" s="2291"/>
      <c r="AM37" s="2291"/>
      <c r="AN37" s="2291"/>
      <c r="AO37" s="2291"/>
      <c r="AP37" s="2292"/>
      <c r="AQ37" s="2293" t="s">
        <v>581</v>
      </c>
      <c r="AR37" s="2296" t="s">
        <v>582</v>
      </c>
      <c r="AS37" s="2143"/>
      <c r="AY37" s="1171">
        <v>14</v>
      </c>
    </row>
    <row s="1651" customFormat="1" customHeight="1" ht="19.95">
      <c r="A38" s="1382"/>
      <c r="B38" s="1382"/>
      <c r="C38" s="1382"/>
      <c r="D38" s="1382"/>
      <c r="E38" s="1382"/>
      <c r="F38" s="1382"/>
      <c r="G38" s="1382"/>
      <c r="H38" s="1382"/>
      <c r="I38" s="1382"/>
      <c r="J38" s="1382"/>
      <c r="K38" s="1382"/>
      <c r="L38" s="1996"/>
      <c r="M38" s="1378"/>
      <c r="N38" s="1378"/>
      <c r="O38" s="1378"/>
      <c r="P38" s="1997"/>
      <c r="Q38" s="392"/>
      <c r="R38" s="392"/>
      <c r="S38" s="2289"/>
      <c r="T38" s="2225"/>
      <c r="U38" s="1047"/>
      <c r="V38" s="2382" t="s">
        <v>685</v>
      </c>
      <c r="W38" s="2381" t="s">
        <v>686</v>
      </c>
      <c r="X38" s="2381"/>
      <c r="Y38" s="2381"/>
      <c r="Z38" s="2381" t="s">
        <v>687</v>
      </c>
      <c r="AA38" s="2381"/>
      <c r="AB38" s="2381"/>
      <c r="AC38" s="2310" t="s">
        <v>586</v>
      </c>
      <c r="AD38" s="2329"/>
      <c r="AE38" s="2330"/>
      <c r="AF38" s="2294"/>
      <c r="AG38" s="2382" t="s">
        <v>685</v>
      </c>
      <c r="AH38" s="2381" t="s">
        <v>686</v>
      </c>
      <c r="AI38" s="2381"/>
      <c r="AJ38" s="2381"/>
      <c r="AK38" s="2381" t="s">
        <v>687</v>
      </c>
      <c r="AL38" s="2381"/>
      <c r="AM38" s="2381"/>
      <c r="AN38" s="2310" t="s">
        <v>586</v>
      </c>
      <c r="AO38" s="2329"/>
      <c r="AP38" s="2330"/>
      <c r="AQ38" s="2294"/>
      <c r="AR38" s="2297"/>
      <c r="AS38" s="2143"/>
      <c r="AT38" s="1652"/>
      <c r="AU38" s="1652"/>
      <c r="AV38" s="1652"/>
      <c r="AW38" s="1652"/>
      <c r="AX38" s="1652"/>
      <c r="AY38" s="1647">
        <v>19</v>
      </c>
    </row>
    <row customHeight="1" ht="19.95">
      <c r="Q39" s="392"/>
      <c r="R39" s="392"/>
      <c r="S39" s="2289"/>
      <c r="T39" s="2225"/>
      <c r="U39" s="1047"/>
      <c r="V39" s="2382"/>
      <c r="W39" s="2381" t="s">
        <v>688</v>
      </c>
      <c r="X39" s="2381" t="s">
        <v>689</v>
      </c>
      <c r="Y39" s="2381"/>
      <c r="Z39" s="2381" t="s">
        <v>690</v>
      </c>
      <c r="AA39" s="2381" t="s">
        <v>689</v>
      </c>
      <c r="AB39" s="2381"/>
      <c r="AC39" s="2311"/>
      <c r="AD39" s="2331"/>
      <c r="AE39" s="2332"/>
      <c r="AF39" s="2294"/>
      <c r="AG39" s="2382"/>
      <c r="AH39" s="2381" t="s">
        <v>688</v>
      </c>
      <c r="AI39" s="2381" t="s">
        <v>689</v>
      </c>
      <c r="AJ39" s="2381"/>
      <c r="AK39" s="2381" t="s">
        <v>690</v>
      </c>
      <c r="AL39" s="2381" t="s">
        <v>689</v>
      </c>
      <c r="AM39" s="2381"/>
      <c r="AN39" s="2311"/>
      <c r="AO39" s="2331"/>
      <c r="AP39" s="2332"/>
      <c r="AQ39" s="2294"/>
      <c r="AR39" s="2297"/>
      <c r="AS39" s="2143"/>
      <c r="AY39" s="1171">
        <v>19</v>
      </c>
    </row>
    <row customHeight="1" ht="61.949999999999996">
      <c r="A40" s="1386"/>
      <c r="B40" s="1386" t="s">
        <v>204</v>
      </c>
      <c r="C40" s="1386" t="s">
        <v>205</v>
      </c>
      <c r="D40" s="1386" t="s">
        <v>206</v>
      </c>
      <c r="E40" s="1380" t="s">
        <v>587</v>
      </c>
      <c r="F40" s="1380" t="s">
        <v>588</v>
      </c>
      <c r="G40" s="1380" t="s">
        <v>589</v>
      </c>
      <c r="H40" s="1380"/>
      <c r="I40" s="1380" t="s">
        <v>643</v>
      </c>
      <c r="J40" s="1380" t="s">
        <v>592</v>
      </c>
      <c r="K40" s="1380" t="s">
        <v>644</v>
      </c>
      <c r="L40" s="1380" t="s">
        <v>568</v>
      </c>
      <c r="Q40" s="392"/>
      <c r="R40" s="392"/>
      <c r="S40" s="2289"/>
      <c r="T40" s="2225"/>
      <c r="U40" s="318"/>
      <c r="V40" s="2382"/>
      <c r="W40" s="2381"/>
      <c r="X40" s="1999" t="s">
        <v>691</v>
      </c>
      <c r="Y40" s="1999" t="s">
        <v>692</v>
      </c>
      <c r="Z40" s="2381"/>
      <c r="AA40" s="1999" t="s">
        <v>693</v>
      </c>
      <c r="AB40" s="1999" t="s">
        <v>694</v>
      </c>
      <c r="AC40" s="1505" t="s">
        <v>596</v>
      </c>
      <c r="AD40" s="2286" t="s">
        <v>597</v>
      </c>
      <c r="AE40" s="2287"/>
      <c r="AF40" s="2295"/>
      <c r="AG40" s="2382"/>
      <c r="AH40" s="2381"/>
      <c r="AI40" s="1999" t="s">
        <v>691</v>
      </c>
      <c r="AJ40" s="1999" t="s">
        <v>692</v>
      </c>
      <c r="AK40" s="2381"/>
      <c r="AL40" s="1999" t="s">
        <v>693</v>
      </c>
      <c r="AM40" s="1999" t="s">
        <v>694</v>
      </c>
      <c r="AN40" s="1505" t="s">
        <v>596</v>
      </c>
      <c r="AO40" s="2286" t="s">
        <v>597</v>
      </c>
      <c r="AP40" s="2287"/>
      <c r="AQ40" s="2295"/>
      <c r="AR40" s="2298"/>
      <c r="AS40" s="2143"/>
      <c r="AY40" s="1171">
        <v>59</v>
      </c>
    </row>
    <row s="1657" customFormat="1" customHeight="1" ht="11.25" hidden="1">
      <c r="A41" s="1386"/>
      <c r="B41" s="1386"/>
      <c r="C41" s="1386"/>
      <c r="D41" s="1386"/>
      <c r="E41" s="1386"/>
      <c r="F41" s="1386"/>
      <c r="G41" s="1386"/>
      <c r="H41" s="1386"/>
      <c r="I41" s="1386"/>
      <c r="J41" s="1386"/>
      <c r="K41" s="1386"/>
      <c r="L41" s="1380"/>
      <c r="M41" s="1378"/>
      <c r="N41" s="1378"/>
      <c r="O41" s="1378"/>
      <c r="P41" s="1262"/>
      <c r="Q41" s="1263"/>
      <c r="R41" s="1270">
        <v>1</v>
      </c>
      <c r="S41" s="1293" t="s">
        <v>141</v>
      </c>
      <c r="T41" s="1271" t="s">
        <v>107</v>
      </c>
      <c r="U41" s="1261" t="str">
        <f>OFFSET(U41,0,-1)</f>
        <v>2</v>
      </c>
      <c r="V41" s="1498">
        <f>OFFSET(V41,0,-1)+1</f>
        <v>3</v>
      </c>
      <c r="W41" s="1995"/>
      <c r="X41" s="1995"/>
      <c r="Y41" s="1995"/>
      <c r="Z41" s="1995"/>
      <c r="AA41" s="1995"/>
      <c r="AB41" s="1498">
        <f>OFFSET(AB41,0,-1)+1</f>
        <v>1</v>
      </c>
      <c r="AC41" s="1498">
        <f>OFFSET(AC41,0,-1)+1</f>
        <v>2</v>
      </c>
      <c r="AD41" s="2288">
        <f>OFFSET(AD41,0,-1)+1</f>
        <v>3</v>
      </c>
      <c r="AE41" s="2288"/>
      <c r="AF41" s="1498">
        <f>OFFSET(AF41,0,-2)+1</f>
        <v>4</v>
      </c>
      <c r="AG41" s="1498">
        <f>OFFSET(AG41,0,-1)+1</f>
        <v>5</v>
      </c>
      <c r="AH41" s="1995"/>
      <c r="AI41" s="1995"/>
      <c r="AJ41" s="1995"/>
      <c r="AK41" s="1995"/>
      <c r="AL41" s="1995"/>
      <c r="AM41" s="1498">
        <f>OFFSET(AM41,0,-1)+1</f>
        <v>1</v>
      </c>
      <c r="AN41" s="1498">
        <f>OFFSET(AN41,0,-1)+1</f>
        <v>2</v>
      </c>
      <c r="AO41" s="2288">
        <f>OFFSET(AO41,0,-1)+1</f>
        <v>3</v>
      </c>
      <c r="AP41" s="2288"/>
      <c r="AQ41" s="1498">
        <f>OFFSET(AQ41,0,-2)+1</f>
        <v>4</v>
      </c>
      <c r="AR41" s="1261">
        <f>OFFSET(AR41,0,-1)</f>
        <v>4</v>
      </c>
      <c r="AS41" s="1498">
        <f>OFFSET(AS41,0,-1)+1</f>
        <v>5</v>
      </c>
      <c r="AT41" s="527"/>
      <c r="AU41" s="527"/>
      <c r="AV41" s="527"/>
      <c r="AW41" s="527"/>
      <c r="AX41" s="527"/>
      <c r="AY41" s="512">
        <v>0</v>
      </c>
    </row>
    <row customHeight="1" ht="24">
      <c r="A42" s="1379" t="s">
        <v>409</v>
      </c>
      <c r="B42" s="1379"/>
      <c r="C42" s="1379"/>
      <c r="D42" s="1379"/>
      <c r="E42" s="2274">
        <v>1</v>
      </c>
      <c r="F42" s="1379"/>
      <c r="G42" s="1379"/>
      <c r="H42" s="1379"/>
      <c r="I42" s="1379"/>
      <c r="J42" s="1379"/>
      <c r="K42" s="1379"/>
      <c r="L42" s="1380"/>
      <c r="M42" s="1381"/>
      <c r="N42" s="1381"/>
      <c r="O42" s="1381"/>
      <c r="P42" s="377"/>
      <c r="Q42" s="376"/>
      <c r="R42" s="371"/>
      <c r="S42" s="1509">
        <f>INDEX(PT_DIFFERENTIATION_NUM_NTAR,MATCH(A42,PT_DIFFERENTIATION_NTAR_ID,0))</f>
        <v>0</v>
      </c>
      <c r="T42" s="314" t="s">
        <v>192</v>
      </c>
      <c r="U42" s="316"/>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6"/>
      <c r="AV42" s="516" t="str">
        <f>IF(T42="","",T42)</f>
        <v>Наименование тарифа</v>
      </c>
      <c r="AW42" s="516"/>
      <c r="AX42" s="516"/>
      <c r="AY42" s="1171">
        <v>23</v>
      </c>
    </row>
    <row customHeight="1" ht="24">
      <c r="A43" s="1379" t="s">
        <v>409</v>
      </c>
      <c r="B43" s="1379" t="s">
        <v>410</v>
      </c>
      <c r="C43" s="1379"/>
      <c r="D43" s="1379"/>
      <c r="E43" s="2275"/>
      <c r="F43" s="2274">
        <v>1</v>
      </c>
      <c r="G43" s="1379"/>
      <c r="H43" s="1379"/>
      <c r="I43" s="1379"/>
      <c r="J43" s="1379"/>
      <c r="K43" s="1379"/>
      <c r="L43" s="1380"/>
      <c r="M43" s="1381"/>
      <c r="N43" s="1381"/>
      <c r="O43" s="1381"/>
      <c r="P43" s="1503"/>
      <c r="Q43" s="368"/>
      <c r="R43" s="369"/>
      <c r="S43" s="1509" t="str">
        <f>INDEX(PT_DIFFERENTIATION_NUM_TER,MATCH(B43,PT_DIFFERENTIATION_TER_ID,0))</f>
        <v>.</v>
      </c>
      <c r="T43" s="324" t="s">
        <v>550</v>
      </c>
      <c r="U43" s="316"/>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74" t="s">
        <v>551</v>
      </c>
      <c r="AU43" s="516"/>
      <c r="AV43" s="516" t="str">
        <f>IF(T43="","",T43)</f>
        <v>Территория действия тарифа</v>
      </c>
      <c r="AW43" s="516"/>
      <c r="AX43" s="516"/>
      <c r="AY43" s="1171">
        <v>23</v>
      </c>
    </row>
    <row customHeight="1" ht="24">
      <c r="A44" s="1379" t="s">
        <v>409</v>
      </c>
      <c r="B44" s="1379" t="s">
        <v>410</v>
      </c>
      <c r="C44" s="1379" t="s">
        <v>411</v>
      </c>
      <c r="D44" s="1379"/>
      <c r="E44" s="2275"/>
      <c r="F44" s="2275"/>
      <c r="G44" s="2274">
        <v>1</v>
      </c>
      <c r="H44" s="1379"/>
      <c r="I44" s="1379"/>
      <c r="J44" s="1379"/>
      <c r="K44" s="1379"/>
      <c r="L44" s="1380"/>
      <c r="M44" s="1381"/>
      <c r="N44" s="1381"/>
      <c r="O44" s="1381"/>
      <c r="P44" s="370"/>
      <c r="Q44" s="368"/>
      <c r="R44" s="369"/>
      <c r="S44" s="1509" t="str">
        <f>INDEX(PT_DIFFERENTIATION_NUM_CS,MATCH(C44,PT_DIFFERENTIATION_CS_ID,0))</f>
        <v>..</v>
      </c>
      <c r="T44" s="325" t="s">
        <v>683</v>
      </c>
      <c r="U44" s="316"/>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74" t="s">
        <v>684</v>
      </c>
      <c r="AU44" s="516"/>
      <c r="AV44" s="516" t="str">
        <f>IF(T44="","",T44)</f>
        <v>Наименование централизованной системы горячего водоснабжения</v>
      </c>
      <c r="AW44" s="516"/>
      <c r="AX44" s="516"/>
      <c r="AY44" s="1171">
        <v>23</v>
      </c>
    </row>
    <row customHeight="1" ht="24">
      <c r="A45" s="1379" t="s">
        <v>409</v>
      </c>
      <c r="B45" s="1379" t="s">
        <v>410</v>
      </c>
      <c r="C45" s="1379" t="s">
        <v>411</v>
      </c>
      <c r="D45" s="1379" t="s">
        <v>696</v>
      </c>
      <c r="E45" s="2275"/>
      <c r="F45" s="2275"/>
      <c r="G45" s="2275"/>
      <c r="H45" s="2275"/>
      <c r="I45" s="2272" t="str">
        <f>S44&amp;".1"</f>
        <v>...1</v>
      </c>
      <c r="J45" s="1379"/>
      <c r="K45" s="1379"/>
      <c r="L45" s="1380"/>
      <c r="P45" s="2273">
        <v>1</v>
      </c>
      <c r="Q45" s="1497"/>
      <c r="R45" s="372"/>
      <c r="S45" s="1509" t="str">
        <f>$I45</f>
        <v>...1</v>
      </c>
      <c r="T45" s="301" t="s">
        <v>636</v>
      </c>
      <c r="U45" s="316"/>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74" t="s">
        <v>637</v>
      </c>
      <c r="AU45" s="516"/>
      <c r="AV45" s="516" t="str">
        <f>IF(T45="","",T45)</f>
        <v>Наименование признака дифференциации</v>
      </c>
      <c r="AW45" s="516"/>
      <c r="AX45" s="516"/>
      <c r="AY45" s="1171">
        <v>23</v>
      </c>
    </row>
    <row customHeight="1" ht="24">
      <c r="A46" s="1379" t="s">
        <v>409</v>
      </c>
      <c r="B46" s="1379" t="s">
        <v>410</v>
      </c>
      <c r="C46" s="1379" t="s">
        <v>411</v>
      </c>
      <c r="D46" s="1379" t="s">
        <v>696</v>
      </c>
      <c r="E46" s="2275"/>
      <c r="F46" s="2275"/>
      <c r="G46" s="2275"/>
      <c r="H46" s="2275"/>
      <c r="I46" s="2302"/>
      <c r="J46" s="2272" t="str">
        <f>I45&amp;".1"</f>
        <v>...1.1</v>
      </c>
      <c r="K46" s="1379"/>
      <c r="L46" s="1380" t="s">
        <v>559</v>
      </c>
      <c r="P46" s="2273"/>
      <c r="Q46" s="2273">
        <v>1</v>
      </c>
      <c r="R46" s="373"/>
      <c r="S46" s="1509" t="str">
        <f>$J46</f>
        <v>...1.1</v>
      </c>
      <c r="T46" s="302" t="s">
        <v>560</v>
      </c>
      <c r="U46" s="316"/>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23" t="s">
        <v>638</v>
      </c>
      <c r="AU46" s="516"/>
      <c r="AV46" s="516" t="str">
        <f>IF(T46="","",T46)</f>
        <v>Группа потребителей</v>
      </c>
      <c r="AW46" s="516"/>
      <c r="AX46" s="516"/>
      <c r="AY46" s="1171">
        <v>23</v>
      </c>
    </row>
    <row customHeight="1" ht="24">
      <c r="A47" s="1379" t="s">
        <v>409</v>
      </c>
      <c r="B47" s="1379" t="s">
        <v>410</v>
      </c>
      <c r="C47" s="1379" t="s">
        <v>411</v>
      </c>
      <c r="D47" s="1379" t="s">
        <v>696</v>
      </c>
      <c r="E47" s="2275"/>
      <c r="F47" s="2275"/>
      <c r="G47" s="2275"/>
      <c r="H47" s="2275"/>
      <c r="I47" s="2302"/>
      <c r="J47" s="2302"/>
      <c r="K47" s="2272" t="str">
        <f>J46&amp;".1"</f>
        <v>...1.1.1</v>
      </c>
      <c r="L47" s="1380"/>
      <c r="P47" s="2273"/>
      <c r="Q47" s="2273"/>
      <c r="R47" s="373">
        <v>1</v>
      </c>
      <c r="S47" s="1509" t="str">
        <f>$K47</f>
        <v>...1.1.1</v>
      </c>
      <c r="T47" s="1453"/>
      <c r="U47" s="316"/>
      <c r="V47" s="1376"/>
      <c r="W47" s="1376"/>
      <c r="X47" s="1376"/>
      <c r="Y47" s="1376"/>
      <c r="Z47" s="1376"/>
      <c r="AA47" s="1376"/>
      <c r="AB47" s="1377"/>
      <c r="AC47" s="2283"/>
      <c r="AD47" s="2284" t="s">
        <v>64</v>
      </c>
      <c r="AE47" s="2283"/>
      <c r="AF47" s="2284" t="s">
        <v>64</v>
      </c>
      <c r="AG47" s="767"/>
      <c r="AH47" s="767"/>
      <c r="AI47" s="767"/>
      <c r="AJ47" s="767"/>
      <c r="AK47" s="767"/>
      <c r="AL47" s="767"/>
      <c r="AM47" s="1273"/>
      <c r="AN47" s="2281"/>
      <c r="AO47" s="2123" t="s">
        <v>64</v>
      </c>
      <c r="AP47" s="2303"/>
      <c r="AQ47" s="2123" t="s">
        <v>19</v>
      </c>
      <c r="AR47" s="1454"/>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7">
        <f>STRCHECKDATE(V48:AR48)</f>
      </c>
      <c r="AU47" s="516"/>
      <c r="AV47" s="516" t="str">
        <f>IF(T47="","",T47)</f>
        <v/>
      </c>
      <c r="AW47" s="516"/>
      <c r="AX47" s="516"/>
      <c r="AY47" s="1171">
        <v>23</v>
      </c>
    </row>
    <row customHeight="1" ht="0">
      <c r="A48" s="1379" t="s">
        <v>409</v>
      </c>
      <c r="B48" s="1379" t="s">
        <v>410</v>
      </c>
      <c r="C48" s="1379" t="s">
        <v>411</v>
      </c>
      <c r="D48" s="1379" t="s">
        <v>696</v>
      </c>
      <c r="E48" s="2275"/>
      <c r="F48" s="2275"/>
      <c r="G48" s="2275"/>
      <c r="H48" s="2275"/>
      <c r="I48" s="2302"/>
      <c r="J48" s="2302"/>
      <c r="K48" s="2272"/>
      <c r="L48" s="1380"/>
      <c r="P48" s="2273"/>
      <c r="Q48" s="2273"/>
      <c r="R48" s="373"/>
      <c r="S48" s="1506"/>
      <c r="T48" s="316"/>
      <c r="U48" s="316"/>
      <c r="V48" s="1376"/>
      <c r="W48" s="1376"/>
      <c r="X48" s="1376"/>
      <c r="Y48" s="1376"/>
      <c r="Z48" s="1376"/>
      <c r="AA48" s="1376"/>
      <c r="AB48" s="344" t="str">
        <f>AC47&amp;"-"&amp;AE47</f>
        <v>-</v>
      </c>
      <c r="AC48" s="2284"/>
      <c r="AD48" s="2284"/>
      <c r="AE48" s="2284"/>
      <c r="AF48" s="2284"/>
      <c r="AG48" s="341"/>
      <c r="AH48" s="341"/>
      <c r="AI48" s="341"/>
      <c r="AJ48" s="341"/>
      <c r="AK48" s="341"/>
      <c r="AL48" s="341"/>
      <c r="AM48" s="344" t="str">
        <f>AN47&amp;"-"&amp;AP47</f>
        <v>-</v>
      </c>
      <c r="AN48" s="2282"/>
      <c r="AO48" s="2123"/>
      <c r="AP48" s="2304"/>
      <c r="AQ48" s="2123"/>
      <c r="AR48" s="1455"/>
      <c r="AS48" s="2365"/>
      <c r="AU48" s="516"/>
      <c r="AV48" s="516" t="str">
        <f>IF(T48="","",T48)</f>
        <v/>
      </c>
      <c r="AW48" s="516"/>
      <c r="AX48" s="516"/>
      <c r="AY48" s="1171">
        <v>0</v>
      </c>
    </row>
    <row customHeight="1" ht="21">
      <c r="A49" s="1379" t="s">
        <v>409</v>
      </c>
      <c r="B49" s="1379" t="s">
        <v>410</v>
      </c>
      <c r="C49" s="1379" t="s">
        <v>411</v>
      </c>
      <c r="D49" s="1379" t="s">
        <v>696</v>
      </c>
      <c r="E49" s="2275"/>
      <c r="F49" s="2275"/>
      <c r="G49" s="2275"/>
      <c r="H49" s="2275"/>
      <c r="I49" s="2302"/>
      <c r="J49" s="2272"/>
      <c r="K49" s="1379"/>
      <c r="L49" s="1380"/>
      <c r="P49" s="2273"/>
      <c r="Q49" s="2273"/>
      <c r="R49" s="372"/>
      <c r="S49" s="1294"/>
      <c r="T49" s="303" t="s">
        <v>639</v>
      </c>
      <c r="U49" s="383"/>
      <c r="V49" s="383"/>
      <c r="W49" s="616"/>
      <c r="X49" s="616"/>
      <c r="Y49" s="616"/>
      <c r="Z49" s="616"/>
      <c r="AA49" s="616"/>
      <c r="AB49" s="383"/>
      <c r="AC49" s="383"/>
      <c r="AD49" s="383"/>
      <c r="AE49" s="383"/>
      <c r="AF49" s="383"/>
      <c r="AG49" s="383"/>
      <c r="AH49" s="616"/>
      <c r="AI49" s="616"/>
      <c r="AJ49" s="616"/>
      <c r="AK49" s="616"/>
      <c r="AL49" s="616"/>
      <c r="AM49" s="383"/>
      <c r="AN49" s="383"/>
      <c r="AO49" s="383"/>
      <c r="AP49" s="383"/>
      <c r="AQ49" s="383"/>
      <c r="AR49" s="383"/>
      <c r="AS49" s="1274" t="s">
        <v>640</v>
      </c>
      <c r="AU49" s="516"/>
      <c r="AV49" s="516" t="str">
        <f>IF(T49="","",T49)</f>
        <v>Добавить значение признака дифференциации</v>
      </c>
      <c r="AW49" s="516"/>
      <c r="AX49" s="516"/>
      <c r="AY49" s="1171">
        <v>20</v>
      </c>
    </row>
    <row customHeight="1" ht="22.049999999999997">
      <c r="A50" s="1379" t="s">
        <v>409</v>
      </c>
      <c r="B50" s="1379" t="s">
        <v>410</v>
      </c>
      <c r="C50" s="1379" t="s">
        <v>411</v>
      </c>
      <c r="D50" s="1379" t="s">
        <v>696</v>
      </c>
      <c r="E50" s="2275"/>
      <c r="F50" s="2275"/>
      <c r="G50" s="2275"/>
      <c r="H50" s="2275"/>
      <c r="I50" s="2272"/>
      <c r="J50" s="1379"/>
      <c r="K50" s="1379"/>
      <c r="L50" s="1380"/>
      <c r="P50" s="2273"/>
      <c r="Q50" s="1497"/>
      <c r="R50" s="372"/>
      <c r="S50" s="1294"/>
      <c r="T50" s="381" t="s">
        <v>565</v>
      </c>
      <c r="U50" s="383"/>
      <c r="V50" s="383"/>
      <c r="W50" s="616"/>
      <c r="X50" s="616"/>
      <c r="Y50" s="616"/>
      <c r="Z50" s="616"/>
      <c r="AA50" s="616"/>
      <c r="AB50" s="383"/>
      <c r="AC50" s="383"/>
      <c r="AD50" s="383"/>
      <c r="AE50" s="383"/>
      <c r="AF50" s="382"/>
      <c r="AG50" s="383"/>
      <c r="AH50" s="616"/>
      <c r="AI50" s="616"/>
      <c r="AJ50" s="616"/>
      <c r="AK50" s="616"/>
      <c r="AL50" s="616"/>
      <c r="AM50" s="383"/>
      <c r="AN50" s="383"/>
      <c r="AO50" s="383"/>
      <c r="AP50" s="383"/>
      <c r="AQ50" s="382"/>
      <c r="AR50" s="383"/>
      <c r="AS50" s="1456"/>
      <c r="AU50" s="516"/>
      <c r="AV50" s="516" t="str">
        <f>IF(T50="","",T50)</f>
        <v>Добавить группу потребителей</v>
      </c>
      <c r="AW50" s="516"/>
      <c r="AX50" s="516"/>
      <c r="AY50" s="1171">
        <v>21</v>
      </c>
    </row>
    <row customHeight="1" ht="22.049999999999997">
      <c r="A51" s="1379" t="s">
        <v>409</v>
      </c>
      <c r="B51" s="1379" t="s">
        <v>410</v>
      </c>
      <c r="C51" s="1379" t="s">
        <v>411</v>
      </c>
      <c r="D51" s="1379" t="s">
        <v>696</v>
      </c>
      <c r="E51" s="2275"/>
      <c r="F51" s="2275"/>
      <c r="G51" s="2275"/>
      <c r="H51" s="2274"/>
      <c r="I51" s="1379"/>
      <c r="J51" s="1379"/>
      <c r="K51" s="1379"/>
      <c r="L51" s="1380"/>
      <c r="M51" s="1381"/>
      <c r="N51" s="1381"/>
      <c r="O51" s="553"/>
      <c r="P51" s="376"/>
      <c r="Q51" s="391"/>
      <c r="R51" s="371"/>
      <c r="S51" s="1294"/>
      <c r="T51" s="388" t="s">
        <v>641</v>
      </c>
      <c r="U51" s="383"/>
      <c r="V51" s="383"/>
      <c r="W51" s="616"/>
      <c r="X51" s="616"/>
      <c r="Y51" s="616"/>
      <c r="Z51" s="616"/>
      <c r="AA51" s="616"/>
      <c r="AB51" s="383"/>
      <c r="AC51" s="383"/>
      <c r="AD51" s="383"/>
      <c r="AE51" s="383"/>
      <c r="AF51" s="382"/>
      <c r="AG51" s="383"/>
      <c r="AH51" s="616"/>
      <c r="AI51" s="616"/>
      <c r="AJ51" s="616"/>
      <c r="AK51" s="616"/>
      <c r="AL51" s="616"/>
      <c r="AM51" s="383"/>
      <c r="AN51" s="383"/>
      <c r="AO51" s="383"/>
      <c r="AP51" s="383"/>
      <c r="AQ51" s="382"/>
      <c r="AR51" s="383"/>
      <c r="AS51" s="319"/>
      <c r="AU51" s="516"/>
      <c r="AV51" s="516" t="str">
        <f>IF(T51="","",T51)</f>
        <v>Добавить наименование признака дифференциации</v>
      </c>
      <c r="AW51" s="516"/>
      <c r="AX51" s="516"/>
      <c r="AY51" s="1171">
        <v>21</v>
      </c>
    </row>
    <row s="1658" customFormat="1" customHeight="1" ht="0">
      <c r="A52" s="1359" t="s">
        <v>409</v>
      </c>
      <c r="B52" s="1359" t="s">
        <v>410</v>
      </c>
      <c r="C52" s="1330"/>
      <c r="D52" s="1330"/>
      <c r="E52" s="2275"/>
      <c r="F52" s="2274"/>
      <c r="G52" s="1330"/>
      <c r="H52" s="1330"/>
      <c r="I52" s="1330"/>
      <c r="J52" s="1330"/>
      <c r="K52" s="1330"/>
      <c r="L52" s="1510"/>
      <c r="M52" s="1337"/>
      <c r="N52" s="1337"/>
      <c r="P52" s="1332"/>
      <c r="Q52" s="1333"/>
      <c r="R52" s="1332"/>
      <c r="S52" s="1338"/>
      <c r="T52" s="1341" t="s">
        <v>269</v>
      </c>
      <c r="U52" s="1340"/>
      <c r="V52" s="1340"/>
      <c r="W52" s="1340"/>
      <c r="X52" s="1340"/>
      <c r="Y52" s="1340"/>
      <c r="Z52" s="1340"/>
      <c r="AA52" s="1340"/>
      <c r="AB52" s="1340"/>
      <c r="AC52" s="1340"/>
      <c r="AD52" s="1340"/>
      <c r="AE52" s="1340"/>
      <c r="AF52" s="1340"/>
      <c r="AG52" s="1340"/>
      <c r="AH52" s="1340"/>
      <c r="AI52" s="1340"/>
      <c r="AJ52" s="1340"/>
      <c r="AK52" s="1340"/>
      <c r="AL52" s="1340"/>
      <c r="AM52" s="1340"/>
      <c r="AN52" s="1340"/>
      <c r="AO52" s="1340"/>
      <c r="AP52" s="1340"/>
      <c r="AQ52" s="1340"/>
      <c r="AR52" s="1340"/>
      <c r="AS52" s="1340"/>
      <c r="AU52" s="805"/>
      <c r="AV52" s="805" t="str">
        <f>IF(T52="","",T52)</f>
        <v>Добавить централизованную систему для дифференциации</v>
      </c>
      <c r="AW52" s="805"/>
      <c r="AX52" s="805"/>
      <c r="AY52" s="534">
        <v>0</v>
      </c>
    </row>
    <row s="1658" customFormat="1" customHeight="1" ht="0">
      <c r="A53" s="1359" t="s">
        <v>409</v>
      </c>
      <c r="B53" s="1359"/>
      <c r="C53" s="1359"/>
      <c r="D53" s="1359"/>
      <c r="E53" s="2274"/>
      <c r="F53" s="1359"/>
      <c r="G53" s="1359"/>
      <c r="H53" s="1359"/>
      <c r="I53" s="1359"/>
      <c r="J53" s="1359"/>
      <c r="K53" s="1359"/>
      <c r="L53" s="1362"/>
      <c r="M53" s="1337"/>
      <c r="N53" s="1337"/>
      <c r="O53" s="534"/>
      <c r="P53" s="396"/>
      <c r="Q53" s="1360"/>
      <c r="R53" s="396"/>
      <c r="S53" s="1338"/>
      <c r="T53" s="1341" t="s">
        <v>330</v>
      </c>
      <c r="U53" s="1340"/>
      <c r="V53" s="1340"/>
      <c r="W53" s="1340"/>
      <c r="X53" s="1340"/>
      <c r="Y53" s="1340"/>
      <c r="Z53" s="1340"/>
      <c r="AA53" s="1340"/>
      <c r="AB53" s="1340"/>
      <c r="AC53" s="1340"/>
      <c r="AD53" s="1340"/>
      <c r="AE53" s="1340"/>
      <c r="AF53" s="1340"/>
      <c r="AG53" s="1340"/>
      <c r="AH53" s="1340"/>
      <c r="AI53" s="1340"/>
      <c r="AJ53" s="1340"/>
      <c r="AK53" s="1340"/>
      <c r="AL53" s="1340"/>
      <c r="AM53" s="1340"/>
      <c r="AN53" s="1340"/>
      <c r="AO53" s="1340"/>
      <c r="AP53" s="1340"/>
      <c r="AQ53" s="1340"/>
      <c r="AR53" s="1340"/>
      <c r="AS53" s="1340"/>
      <c r="AU53" s="516"/>
      <c r="AV53" s="516" t="str">
        <f>IF(T53="","",T53)</f>
        <v>Добавить территорию для дифференциации</v>
      </c>
      <c r="AW53" s="516"/>
      <c r="AX53" s="516"/>
      <c r="AY53" s="527">
        <v>0</v>
      </c>
    </row>
    <row s="1658" customFormat="1" customHeight="1" ht="0">
      <c r="A54" s="1330"/>
      <c r="B54" s="1330"/>
      <c r="C54" s="1330"/>
      <c r="D54" s="1330"/>
      <c r="E54" s="1359"/>
      <c r="F54" s="1330"/>
      <c r="G54" s="1330"/>
      <c r="H54" s="1330"/>
      <c r="I54" s="1330"/>
      <c r="J54" s="1330"/>
      <c r="K54" s="1330"/>
      <c r="L54" s="1510"/>
      <c r="M54" s="1337"/>
      <c r="N54" s="1337"/>
      <c r="P54" s="1332"/>
      <c r="Q54" s="1333"/>
      <c r="R54" s="1332"/>
      <c r="S54" s="1338"/>
      <c r="T54" s="1341" t="s">
        <v>356</v>
      </c>
      <c r="U54" s="1340"/>
      <c r="V54" s="1340"/>
      <c r="W54" s="1340"/>
      <c r="X54" s="1340"/>
      <c r="Y54" s="1340"/>
      <c r="Z54" s="1340"/>
      <c r="AA54" s="1340"/>
      <c r="AB54" s="1340"/>
      <c r="AC54" s="1340"/>
      <c r="AD54" s="1340"/>
      <c r="AE54" s="1340"/>
      <c r="AF54" s="1340"/>
      <c r="AG54" s="1340"/>
      <c r="AH54" s="1340"/>
      <c r="AI54" s="1340"/>
      <c r="AJ54" s="1340"/>
      <c r="AK54" s="1340"/>
      <c r="AL54" s="1340"/>
      <c r="AM54" s="1340"/>
      <c r="AN54" s="1340"/>
      <c r="AO54" s="1340"/>
      <c r="AP54" s="1340"/>
      <c r="AQ54" s="1340"/>
      <c r="AR54" s="1340"/>
      <c r="AS54" s="1340"/>
      <c r="AU54" s="805"/>
      <c r="AV54" s="805" t="str">
        <f>IF(T54="","",T54)</f>
        <v>Добавить наименование тарифа</v>
      </c>
      <c r="AW54" s="805"/>
      <c r="AX54" s="805"/>
      <c r="AY54" s="534">
        <v>0</v>
      </c>
    </row>
    <row customHeight="1" ht="11.549999999999999">
      <c r="M55" s="1176"/>
      <c r="N55" s="1176"/>
      <c r="O55" s="553"/>
      <c r="P55" s="1171"/>
      <c r="Q55" s="1171"/>
      <c r="R55" s="1171"/>
      <c r="S55" s="1171"/>
      <c r="AT55" s="1171"/>
      <c r="AU55" s="1171"/>
      <c r="AV55" s="1171"/>
      <c r="AW55" s="1171"/>
      <c r="AX55" s="1171"/>
      <c r="AY55" s="1171">
        <v>11</v>
      </c>
    </row>
    <row customHeight="1" ht="14.699999999999998">
      <c r="O56" s="553"/>
      <c r="S56" s="1269"/>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71">
        <v>14</v>
      </c>
    </row>
    <row customHeight="1" ht="14.699999999999998">
      <c r="O57" s="553"/>
      <c r="AY57" s="1171">
        <v>14</v>
      </c>
    </row>
    <row customHeight="1" ht="14.699999999999998">
      <c r="O58" s="553"/>
      <c r="S58" s="1269"/>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71">
        <v>14</v>
      </c>
    </row>
    <row customHeight="1" ht="22.5" hidden="1">
      <c r="A59" s="1176" t="s">
        <v>85</v>
      </c>
      <c r="B59" s="1176">
        <v>0</v>
      </c>
      <c r="C59" s="1176">
        <v>0</v>
      </c>
      <c r="D59" s="1176">
        <v>0</v>
      </c>
      <c r="E59" s="1176">
        <v>0</v>
      </c>
      <c r="F59" s="1176">
        <v>0</v>
      </c>
      <c r="G59" s="1176">
        <v>0</v>
      </c>
      <c r="H59" s="1176">
        <v>0</v>
      </c>
      <c r="I59" s="1176">
        <v>0</v>
      </c>
      <c r="J59" s="1176">
        <v>0</v>
      </c>
      <c r="K59" s="1176">
        <v>0</v>
      </c>
      <c r="L59" s="1494">
        <v>0</v>
      </c>
      <c r="M59" s="1378">
        <v>0</v>
      </c>
      <c r="N59" s="1378">
        <v>0</v>
      </c>
      <c r="O59" s="1378">
        <v>0</v>
      </c>
      <c r="P59" s="1489">
        <v>3</v>
      </c>
      <c r="Q59" s="360">
        <v>3</v>
      </c>
      <c r="R59" s="360">
        <v>3</v>
      </c>
      <c r="S59" s="597">
        <v>12</v>
      </c>
      <c r="T59" s="1171">
        <v>35</v>
      </c>
      <c r="U59" s="1171">
        <v>0</v>
      </c>
      <c r="V59" s="1171">
        <v>0</v>
      </c>
      <c r="W59" s="1647">
        <v>0</v>
      </c>
      <c r="X59" s="1647">
        <v>0</v>
      </c>
      <c r="Y59" s="1647">
        <v>0</v>
      </c>
      <c r="Z59" s="1647">
        <v>0</v>
      </c>
      <c r="AA59" s="1647">
        <v>0</v>
      </c>
      <c r="AB59" s="1171">
        <v>0</v>
      </c>
      <c r="AC59" s="1171">
        <v>0</v>
      </c>
      <c r="AD59" s="1171">
        <v>0</v>
      </c>
      <c r="AE59" s="1171">
        <v>0</v>
      </c>
      <c r="AF59" s="1171">
        <v>0</v>
      </c>
      <c r="AG59" s="1171">
        <v>19</v>
      </c>
      <c r="AH59" s="1647">
        <v>19</v>
      </c>
      <c r="AI59" s="1647">
        <v>19</v>
      </c>
      <c r="AJ59" s="1647">
        <v>19</v>
      </c>
      <c r="AK59" s="1647">
        <v>19</v>
      </c>
      <c r="AL59" s="1647">
        <v>19</v>
      </c>
      <c r="AM59" s="1171">
        <v>19</v>
      </c>
      <c r="AN59" s="1171">
        <v>11</v>
      </c>
      <c r="AO59" s="1171">
        <v>3</v>
      </c>
      <c r="AP59" s="1171">
        <v>11</v>
      </c>
      <c r="AQ59" s="1171">
        <v>0</v>
      </c>
      <c r="AR59" s="1171">
        <v>4</v>
      </c>
      <c r="AS59" s="1171">
        <v>115</v>
      </c>
      <c r="AT59" s="527">
        <v>10</v>
      </c>
      <c r="AU59" s="527">
        <v>10</v>
      </c>
      <c r="AV59" s="527">
        <v>10</v>
      </c>
      <c r="AW59" s="527">
        <v>10</v>
      </c>
      <c r="AX59" s="527">
        <v>10</v>
      </c>
      <c r="AY59" s="117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88EFB-8308-B374-2D6A-7D5264B197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2" width="11.57421875" hidden="1" customWidth="1"/>
    <col min="2" max="2" style="1382" width="11.00390625" hidden="1" customWidth="1"/>
    <col min="3" max="3" style="1382" width="10.57421875" hidden="1"/>
    <col min="4" max="4" style="1382" width="12.8515625" hidden="1" customWidth="1"/>
    <col min="5" max="5" style="1382" width="10.00390625" hidden="1" customWidth="1"/>
    <col min="6" max="6" style="1382" width="8.7109375" hidden="1" customWidth="1"/>
    <col min="7" max="7" style="1382" width="7.57421875" hidden="1" customWidth="1"/>
    <col min="8" max="8" style="1382" width="11.421875" hidden="1" customWidth="1"/>
    <col min="9" max="9" style="1382" width="12.00390625" hidden="1" customWidth="1"/>
    <col min="10" max="10" style="1382" width="9.8515625" hidden="1" customWidth="1"/>
    <col min="11" max="11" style="1382" width="11.421875" hidden="1" customWidth="1"/>
    <col min="12" max="12" style="2623" width="19.140625" hidden="1" customWidth="1"/>
    <col min="13" max="14" style="1792" width="12.28125" hidden="1" customWidth="1"/>
    <col min="15" max="15" style="1792" width="23.421875" hidden="1" customWidth="1"/>
    <col min="16" max="16" style="1792" width="3.7109375" hidden="1" customWidth="1"/>
    <col min="17" max="17" style="1387" width="3.7109375" hidden="1" customWidth="1"/>
    <col min="18" max="18" style="360" width="3.00390625" customWidth="1"/>
    <col min="19" max="19" style="2423" width="12.00390625" customWidth="1"/>
    <col min="20" max="20" style="1651" width="31.00390625" customWidth="1"/>
    <col min="21" max="21" style="1651" width="0.140625" customWidth="1"/>
    <col min="22" max="25" style="1651" width="21.7109375" hidden="1" customWidth="1"/>
    <col min="26" max="26" style="1651" width="11.7109375" hidden="1" customWidth="1"/>
    <col min="27" max="27" style="1651" width="3.7109375" hidden="1" customWidth="1"/>
    <col min="28" max="28" style="1651" width="11.7109375" hidden="1" customWidth="1"/>
    <col min="29" max="29" style="1651" width="8.57421875" hidden="1" customWidth="1"/>
    <col min="30" max="30" style="1651" width="3.7109375" customWidth="1"/>
    <col min="31" max="32" style="1651" width="3.00390625" customWidth="1"/>
    <col min="33" max="33" style="1651" width="24.00390625" customWidth="1"/>
    <col min="34" max="34" style="1651" width="3.7109375" customWidth="1"/>
    <col min="35" max="36" style="1651" width="3.00390625" customWidth="1"/>
    <col min="37" max="37" style="1651" width="24.00390625" customWidth="1"/>
    <col min="38" max="38" style="1651" width="3.7109375" customWidth="1"/>
    <col min="39" max="40" style="1651" width="3.00390625" customWidth="1"/>
    <col min="41" max="41" style="1651" width="18.00390625" customWidth="1"/>
    <col min="42" max="42" style="1651" width="3.7109375" customWidth="1"/>
    <col min="43" max="44" style="1651" width="3.00390625" customWidth="1"/>
    <col min="45" max="45" style="1651" width="18.00390625" customWidth="1"/>
    <col min="46" max="49" style="1651" width="21.00390625" customWidth="1"/>
    <col min="50" max="50" style="1651" width="11.00390625" customWidth="1"/>
    <col min="51" max="51" style="1651" width="3.7109375" customWidth="1"/>
    <col min="52" max="52" style="1651" width="11.00390625" customWidth="1"/>
    <col min="53" max="53" style="1651" width="8.57421875" hidden="1" customWidth="1"/>
    <col min="54" max="54" style="1651" width="4.00390625" customWidth="1"/>
    <col min="55" max="55" style="1651" width="115.00390625" customWidth="1"/>
    <col min="56" max="60" style="1658" width="10.00390625" customWidth="1"/>
    <col min="61" max="61" style="1651" width="10.57421875" hidden="1"/>
  </cols>
  <sheetData>
    <row customHeight="1" ht="22.5" hidden="1">
      <c r="W1" s="343"/>
      <c r="Y1" s="343"/>
      <c r="Z1" s="343"/>
      <c r="AW1" s="343"/>
      <c r="AX1" s="343"/>
      <c r="BI1" s="1171" t="s">
        <v>14</v>
      </c>
    </row>
    <row customHeight="1" ht="21" hidden="1">
      <c r="A2" s="1379"/>
      <c r="B2" s="1379"/>
      <c r="C2" s="1379"/>
      <c r="D2" s="1379"/>
      <c r="E2" s="2274">
        <v>1</v>
      </c>
      <c r="F2" s="1379"/>
      <c r="G2" s="1379"/>
      <c r="H2" s="1379"/>
      <c r="I2" s="1379"/>
      <c r="J2" s="1379"/>
      <c r="K2" s="1379"/>
      <c r="L2" s="1380"/>
      <c r="M2" s="1381"/>
      <c r="N2" s="1381"/>
      <c r="O2" s="1381"/>
      <c r="P2" s="1425"/>
      <c r="Q2" s="889"/>
      <c r="R2" s="371"/>
      <c r="S2" s="1509">
        <f>INDEX(PT_DIFFERENTIATION_NUM_NTAR,MATCH(A2,PT_DIFFERENTIATION_NTAR_ID,0))</f>
      </c>
      <c r="T2" s="314" t="s">
        <v>192</v>
      </c>
      <c r="U2" s="316"/>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6"/>
      <c r="BF2" s="516" t="str">
        <f>IF(T2="","",T2)</f>
        <v>Наименование тарифа</v>
      </c>
      <c r="BG2" s="516"/>
      <c r="BH2" s="516"/>
      <c r="BI2" s="1171">
        <v>0</v>
      </c>
    </row>
    <row customHeight="1" ht="21" hidden="1">
      <c r="A3" s="1379"/>
      <c r="B3" s="1379"/>
      <c r="C3" s="1379"/>
      <c r="D3" s="1379"/>
      <c r="E3" s="2275"/>
      <c r="F3" s="2274">
        <v>1</v>
      </c>
      <c r="G3" s="1379"/>
      <c r="H3" s="1379"/>
      <c r="I3" s="1379"/>
      <c r="J3" s="1379"/>
      <c r="K3" s="1379"/>
      <c r="L3" s="1380"/>
      <c r="M3" s="1381"/>
      <c r="N3" s="1381"/>
      <c r="O3" s="1381"/>
      <c r="P3" s="1426"/>
      <c r="Q3" s="1427"/>
      <c r="R3" s="369"/>
      <c r="S3" s="1509">
        <f>INDEX(PT_DIFFERENTIATION_NUM_TER,MATCH(B3,PT_DIFFERENTIATION_TER_ID,0))</f>
      </c>
      <c r="T3" s="324" t="s">
        <v>550</v>
      </c>
      <c r="U3" s="316"/>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74" t="s">
        <v>551</v>
      </c>
      <c r="BE3" s="516"/>
      <c r="BF3" s="516" t="str">
        <f>IF(T3="","",T3)</f>
        <v>Территория действия тарифа</v>
      </c>
      <c r="BG3" s="516"/>
      <c r="BH3" s="516"/>
      <c r="BI3" s="1171">
        <v>0</v>
      </c>
    </row>
    <row customHeight="1" ht="33.75" hidden="1">
      <c r="A4" s="1379"/>
      <c r="B4" s="1379"/>
      <c r="C4" s="1379"/>
      <c r="D4" s="1379"/>
      <c r="E4" s="2275"/>
      <c r="F4" s="2275"/>
      <c r="G4" s="2274">
        <v>1</v>
      </c>
      <c r="H4" s="1379"/>
      <c r="I4" s="1379"/>
      <c r="J4" s="1379"/>
      <c r="K4" s="1379"/>
      <c r="L4" s="1380"/>
      <c r="M4" s="1381"/>
      <c r="N4" s="1381"/>
      <c r="O4" s="1381"/>
      <c r="P4" s="1428"/>
      <c r="Q4" s="1427"/>
      <c r="R4" s="369"/>
      <c r="S4" s="1509">
        <f>INDEX(PT_DIFFERENTIATION_NUM_CS,MATCH(C4,PT_DIFFERENTIATION_CS_ID,0))</f>
      </c>
      <c r="T4" s="325" t="s">
        <v>683</v>
      </c>
      <c r="U4" s="316"/>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74" t="s">
        <v>684</v>
      </c>
      <c r="BE4" s="516"/>
      <c r="BF4" s="516" t="str">
        <f>IF(T4="","",T4)</f>
        <v>Наименование централизованной системы горячего водоснабжения</v>
      </c>
      <c r="BG4" s="516"/>
      <c r="BH4" s="516"/>
      <c r="BI4" s="1171">
        <v>0</v>
      </c>
    </row>
    <row s="1658" customFormat="1" customHeight="1" ht="14.25" hidden="1">
      <c r="A5" s="1359"/>
      <c r="B5" s="1359"/>
      <c r="C5" s="1359"/>
      <c r="D5" s="1359"/>
      <c r="E5" s="2275"/>
      <c r="F5" s="2275"/>
      <c r="G5" s="2275"/>
      <c r="H5" s="2274">
        <v>1</v>
      </c>
      <c r="I5" s="1359"/>
      <c r="J5" s="1359"/>
      <c r="K5" s="1359"/>
      <c r="L5" s="1362"/>
      <c r="M5" s="1331"/>
      <c r="N5" s="1331"/>
      <c r="O5" s="1331"/>
      <c r="P5" s="1513"/>
      <c r="Q5" s="1514"/>
      <c r="R5" s="373"/>
      <c r="S5" s="1058"/>
      <c r="T5" s="1515"/>
      <c r="U5" s="1400"/>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401" t="s">
        <v>555</v>
      </c>
      <c r="BE5" s="516"/>
      <c r="BF5" s="516" t="str">
        <f>IF(T5="","",T5)</f>
        <v/>
      </c>
      <c r="BG5" s="516"/>
      <c r="BH5" s="516"/>
      <c r="BI5" s="527">
        <v>0</v>
      </c>
    </row>
    <row s="1658" customFormat="1" customHeight="1" ht="14.25" hidden="1">
      <c r="A6" s="1359"/>
      <c r="B6" s="1359"/>
      <c r="C6" s="1359"/>
      <c r="D6" s="1359"/>
      <c r="E6" s="2275"/>
      <c r="F6" s="2275"/>
      <c r="G6" s="2275"/>
      <c r="H6" s="2275"/>
      <c r="I6" s="2272" t="str">
        <f>S5&amp;".1"</f>
        <v>.1</v>
      </c>
      <c r="J6" s="1359"/>
      <c r="K6" s="1359"/>
      <c r="L6" s="1362" t="s">
        <v>556</v>
      </c>
      <c r="M6" s="526"/>
      <c r="N6" s="526"/>
      <c r="O6" s="526"/>
      <c r="P6" s="2273">
        <v>1</v>
      </c>
      <c r="Q6" s="1497"/>
      <c r="R6" s="372"/>
      <c r="S6" s="1058"/>
      <c r="T6" s="1399"/>
      <c r="U6" s="1400"/>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401"/>
      <c r="BE6" s="516"/>
      <c r="BF6" s="516" t="str">
        <f>IF(T6="","",T6)</f>
        <v/>
      </c>
      <c r="BG6" s="516"/>
      <c r="BH6" s="516"/>
      <c r="BI6" s="527">
        <v>0</v>
      </c>
    </row>
    <row s="1658" customFormat="1" customHeight="1" ht="14.25" hidden="1">
      <c r="A7" s="1359"/>
      <c r="B7" s="1359"/>
      <c r="C7" s="1359"/>
      <c r="D7" s="1359"/>
      <c r="E7" s="2275"/>
      <c r="F7" s="2275"/>
      <c r="G7" s="2275"/>
      <c r="H7" s="2275"/>
      <c r="I7" s="2302"/>
      <c r="J7" s="2272" t="str">
        <f>S5&amp;".1"</f>
        <v>.1</v>
      </c>
      <c r="K7" s="1359"/>
      <c r="L7" s="1362"/>
      <c r="M7" s="526"/>
      <c r="N7" s="526"/>
      <c r="O7" s="526"/>
      <c r="P7" s="2273"/>
      <c r="Q7" s="2273">
        <v>1</v>
      </c>
      <c r="R7" s="373"/>
      <c r="S7" s="1058"/>
      <c r="T7" s="1415"/>
      <c r="U7" s="1400"/>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401"/>
      <c r="BE7" s="516"/>
      <c r="BF7" s="516" t="str">
        <f>IF(T7="","",T7)</f>
        <v/>
      </c>
      <c r="BG7" s="516"/>
      <c r="BH7" s="516"/>
      <c r="BI7" s="527">
        <v>0</v>
      </c>
    </row>
    <row customHeight="1" ht="11.25" hidden="1">
      <c r="A8" s="1379"/>
      <c r="B8" s="1379"/>
      <c r="C8" s="1379"/>
      <c r="D8" s="1379"/>
      <c r="E8" s="2275"/>
      <c r="F8" s="2275"/>
      <c r="G8" s="2275"/>
      <c r="H8" s="2275"/>
      <c r="I8" s="2302"/>
      <c r="J8" s="2302"/>
      <c r="K8" s="2272">
        <f>S4&amp;".1"</f>
      </c>
      <c r="L8" s="1380"/>
      <c r="P8" s="2273"/>
      <c r="Q8" s="2273"/>
      <c r="R8" s="2363">
        <v>1</v>
      </c>
      <c r="S8" s="2357">
        <f>$K8</f>
      </c>
      <c r="T8" s="2376"/>
      <c r="U8" s="316"/>
      <c r="V8" s="767"/>
      <c r="W8" s="1273"/>
      <c r="X8" s="767"/>
      <c r="Y8" s="1273"/>
      <c r="Z8" s="1750"/>
      <c r="AA8" s="1485" t="s">
        <v>64</v>
      </c>
      <c r="AB8" s="1750"/>
      <c r="AC8" s="1485" t="s">
        <v>64</v>
      </c>
      <c r="AD8" s="2201" t="s">
        <v>64</v>
      </c>
      <c r="AE8" s="2342"/>
      <c r="AF8" s="2221">
        <v>1</v>
      </c>
      <c r="AG8" s="2379"/>
      <c r="AH8" s="2123" t="s">
        <v>64</v>
      </c>
      <c r="AI8" s="2342"/>
      <c r="AJ8" s="2221">
        <v>1</v>
      </c>
      <c r="AK8" s="2343" t="s">
        <v>28</v>
      </c>
      <c r="AL8" s="2123" t="s">
        <v>64</v>
      </c>
      <c r="AM8" s="2208"/>
      <c r="AN8" s="2221">
        <v>1</v>
      </c>
      <c r="AO8" s="2373"/>
      <c r="AP8" s="2374" t="s">
        <v>64</v>
      </c>
      <c r="AQ8" s="327"/>
      <c r="AR8" s="1502">
        <v>1</v>
      </c>
      <c r="AS8" s="1508" t="s">
        <v>28</v>
      </c>
      <c r="AT8" s="767"/>
      <c r="AU8" s="1273"/>
      <c r="AV8" s="767"/>
      <c r="AW8" s="1273"/>
      <c r="AX8" s="1750"/>
      <c r="AY8" s="1485" t="s">
        <v>64</v>
      </c>
      <c r="AZ8" s="1750"/>
      <c r="BA8" s="1485" t="s">
        <v>64</v>
      </c>
      <c r="BB8" s="1364"/>
      <c r="BC8" s="2269" t="s">
        <v>654</v>
      </c>
      <c r="BE8" s="516"/>
      <c r="BF8" s="516" t="str">
        <f>IF(T8="","",T8)</f>
        <v/>
      </c>
      <c r="BG8" s="516"/>
      <c r="BH8" s="516"/>
      <c r="BI8" s="1171">
        <v>0</v>
      </c>
    </row>
    <row customHeight="1" ht="11.25" hidden="1">
      <c r="A9" s="1379"/>
      <c r="B9" s="1379"/>
      <c r="C9" s="1379"/>
      <c r="D9" s="1379"/>
      <c r="E9" s="2275"/>
      <c r="F9" s="2275"/>
      <c r="G9" s="2275"/>
      <c r="H9" s="2275"/>
      <c r="I9" s="2302"/>
      <c r="J9" s="2302"/>
      <c r="K9" s="2272"/>
      <c r="L9" s="1380"/>
      <c r="P9" s="2273"/>
      <c r="Q9" s="2273"/>
      <c r="R9" s="2363"/>
      <c r="S9" s="2358"/>
      <c r="T9" s="2377"/>
      <c r="U9" s="316"/>
      <c r="V9" s="1409"/>
      <c r="W9" s="1512"/>
      <c r="X9" s="1409"/>
      <c r="Y9" s="1512"/>
      <c r="Z9" s="1409"/>
      <c r="AA9" s="1409"/>
      <c r="AB9" s="1409"/>
      <c r="AC9" s="1409"/>
      <c r="AD9" s="2202"/>
      <c r="AE9" s="2342"/>
      <c r="AF9" s="2221"/>
      <c r="AG9" s="2379"/>
      <c r="AH9" s="2123"/>
      <c r="AI9" s="2342"/>
      <c r="AJ9" s="2221"/>
      <c r="AK9" s="2343"/>
      <c r="AL9" s="2123"/>
      <c r="AM9" s="2216"/>
      <c r="AN9" s="2221"/>
      <c r="AO9" s="2373"/>
      <c r="AP9" s="2375"/>
      <c r="AQ9" s="332"/>
      <c r="AR9" s="432"/>
      <c r="AS9" s="432" t="s">
        <v>655</v>
      </c>
      <c r="AT9" s="1409"/>
      <c r="AU9" s="1512"/>
      <c r="AV9" s="1409"/>
      <c r="AW9" s="1512"/>
      <c r="AX9" s="1409"/>
      <c r="AY9" s="1409"/>
      <c r="AZ9" s="1409"/>
      <c r="BA9" s="1409"/>
      <c r="BB9" s="1413"/>
      <c r="BC9" s="2270"/>
      <c r="BE9" s="516"/>
      <c r="BF9" s="516"/>
      <c r="BG9" s="516"/>
      <c r="BH9" s="516"/>
      <c r="BI9" s="1171">
        <v>0</v>
      </c>
    </row>
    <row customHeight="1" ht="11.25" hidden="1">
      <c r="A10" s="1379"/>
      <c r="B10" s="1379"/>
      <c r="C10" s="1379"/>
      <c r="D10" s="1379"/>
      <c r="E10" s="2275"/>
      <c r="F10" s="2275"/>
      <c r="G10" s="2275"/>
      <c r="H10" s="2275"/>
      <c r="I10" s="2302"/>
      <c r="J10" s="2302"/>
      <c r="K10" s="2272"/>
      <c r="L10" s="1380"/>
      <c r="P10" s="2273"/>
      <c r="Q10" s="2273"/>
      <c r="R10" s="2363"/>
      <c r="S10" s="2358"/>
      <c r="T10" s="2377"/>
      <c r="U10" s="316"/>
      <c r="V10" s="1409"/>
      <c r="W10" s="1512"/>
      <c r="X10" s="1409"/>
      <c r="Y10" s="1512"/>
      <c r="Z10" s="1409"/>
      <c r="AA10" s="1409"/>
      <c r="AB10" s="1409"/>
      <c r="AC10" s="1409"/>
      <c r="AD10" s="2202"/>
      <c r="AE10" s="2342"/>
      <c r="AF10" s="2221"/>
      <c r="AG10" s="2379"/>
      <c r="AH10" s="2123"/>
      <c r="AI10" s="2342"/>
      <c r="AJ10" s="2221"/>
      <c r="AK10" s="2343"/>
      <c r="AL10" s="2123"/>
      <c r="AM10" s="332"/>
      <c r="AN10" s="1516"/>
      <c r="AO10" s="1516" t="s">
        <v>656</v>
      </c>
      <c r="AP10" s="432"/>
      <c r="AQ10" s="432"/>
      <c r="AR10" s="432"/>
      <c r="AS10" s="1409"/>
      <c r="AT10" s="1409"/>
      <c r="AU10" s="1512"/>
      <c r="AV10" s="1409"/>
      <c r="AW10" s="1512"/>
      <c r="AX10" s="1409"/>
      <c r="AY10" s="1409"/>
      <c r="AZ10" s="1409"/>
      <c r="BA10" s="1409"/>
      <c r="BB10" s="1413"/>
      <c r="BC10" s="2270"/>
      <c r="BE10" s="516"/>
      <c r="BF10" s="516"/>
      <c r="BG10" s="516"/>
      <c r="BH10" s="516"/>
      <c r="BI10" s="1171">
        <v>0</v>
      </c>
    </row>
    <row customHeight="1" ht="11.25" hidden="1">
      <c r="A11" s="1379"/>
      <c r="B11" s="1379"/>
      <c r="C11" s="1379"/>
      <c r="D11" s="1379"/>
      <c r="E11" s="2275"/>
      <c r="F11" s="2275"/>
      <c r="G11" s="2275"/>
      <c r="H11" s="2275"/>
      <c r="I11" s="2302"/>
      <c r="J11" s="2302"/>
      <c r="K11" s="2272"/>
      <c r="L11" s="1380"/>
      <c r="P11" s="2273"/>
      <c r="Q11" s="2273"/>
      <c r="R11" s="2363"/>
      <c r="S11" s="2358"/>
      <c r="T11" s="2377"/>
      <c r="U11" s="316"/>
      <c r="V11" s="1409"/>
      <c r="W11" s="1512"/>
      <c r="X11" s="1409"/>
      <c r="Y11" s="1512"/>
      <c r="Z11" s="1409"/>
      <c r="AA11" s="1409"/>
      <c r="AB11" s="1409"/>
      <c r="AC11" s="1409"/>
      <c r="AD11" s="2202"/>
      <c r="AE11" s="2342"/>
      <c r="AF11" s="2221"/>
      <c r="AG11" s="2379"/>
      <c r="AH11" s="2123"/>
      <c r="AI11" s="310"/>
      <c r="AJ11" s="431"/>
      <c r="AK11" s="329" t="s">
        <v>657</v>
      </c>
      <c r="AL11" s="1409"/>
      <c r="AM11" s="1409"/>
      <c r="AN11" s="1409"/>
      <c r="AO11" s="1409"/>
      <c r="AP11" s="1409"/>
      <c r="AQ11" s="1409"/>
      <c r="AR11" s="1409"/>
      <c r="AS11" s="1409"/>
      <c r="AT11" s="1409"/>
      <c r="AU11" s="1512"/>
      <c r="AV11" s="1409"/>
      <c r="AW11" s="1512"/>
      <c r="AX11" s="1409"/>
      <c r="AY11" s="1409"/>
      <c r="AZ11" s="1409"/>
      <c r="BA11" s="1409"/>
      <c r="BB11" s="1413"/>
      <c r="BC11" s="2270"/>
      <c r="BE11" s="516"/>
      <c r="BF11" s="516"/>
      <c r="BG11" s="516"/>
      <c r="BH11" s="516"/>
      <c r="BI11" s="1171">
        <v>0</v>
      </c>
    </row>
    <row customHeight="1" ht="11.25" hidden="1">
      <c r="A12" s="1379"/>
      <c r="B12" s="1379"/>
      <c r="C12" s="1379"/>
      <c r="D12" s="1379"/>
      <c r="E12" s="2275"/>
      <c r="F12" s="2275"/>
      <c r="G12" s="2275"/>
      <c r="H12" s="2275"/>
      <c r="I12" s="2302"/>
      <c r="J12" s="2302"/>
      <c r="K12" s="2272"/>
      <c r="L12" s="1380"/>
      <c r="P12" s="2273"/>
      <c r="Q12" s="2273"/>
      <c r="R12" s="2363"/>
      <c r="S12" s="2359"/>
      <c r="T12" s="2378"/>
      <c r="U12" s="316"/>
      <c r="V12" s="1409"/>
      <c r="W12" s="1410" t="str">
        <f>Z8&amp;"-"&amp;AB8</f>
        <v>-</v>
      </c>
      <c r="X12" s="1409"/>
      <c r="Y12" s="1410" t="str">
        <f>AB8&amp;"-"&amp;AD8</f>
        <v>-да</v>
      </c>
      <c r="Z12" s="1409"/>
      <c r="AA12" s="1409"/>
      <c r="AB12" s="1409"/>
      <c r="AC12" s="1409"/>
      <c r="AD12" s="2128"/>
      <c r="AE12" s="328"/>
      <c r="AF12" s="330"/>
      <c r="AG12" s="432" t="s">
        <v>658</v>
      </c>
      <c r="AH12" s="1409"/>
      <c r="AI12" s="1409"/>
      <c r="AJ12" s="1409"/>
      <c r="AK12" s="1409"/>
      <c r="AL12" s="1409"/>
      <c r="AM12" s="1409"/>
      <c r="AN12" s="1409"/>
      <c r="AO12" s="1409"/>
      <c r="AP12" s="1409"/>
      <c r="AQ12" s="1409"/>
      <c r="AR12" s="1409"/>
      <c r="AS12" s="1409"/>
      <c r="AT12" s="1409"/>
      <c r="AU12" s="1410" t="str">
        <f>AX8&amp;"-"&amp;AZ8</f>
        <v>-</v>
      </c>
      <c r="AV12" s="1409"/>
      <c r="AW12" s="1410" t="str">
        <f>AZ8&amp;"-"&amp;BB8</f>
        <v>-</v>
      </c>
      <c r="AX12" s="1409"/>
      <c r="AY12" s="1409"/>
      <c r="AZ12" s="1409"/>
      <c r="BA12" s="1409"/>
      <c r="BB12" s="1412" t="str">
        <f>BE8&amp;"-"&amp;BG8</f>
        <v>-</v>
      </c>
      <c r="BC12" s="2270"/>
      <c r="BE12" s="516"/>
      <c r="BF12" s="516" t="str">
        <f>IF(T12="","",T12)</f>
        <v/>
      </c>
      <c r="BG12" s="516"/>
      <c r="BH12" s="516"/>
      <c r="BI12" s="1171">
        <v>0</v>
      </c>
    </row>
    <row customHeight="1" ht="11.25" hidden="1">
      <c r="A13" s="1379"/>
      <c r="B13" s="1379"/>
      <c r="C13" s="1379"/>
      <c r="D13" s="1379"/>
      <c r="E13" s="2275"/>
      <c r="F13" s="2275"/>
      <c r="G13" s="2275"/>
      <c r="H13" s="2275"/>
      <c r="I13" s="2302"/>
      <c r="J13" s="2272"/>
      <c r="K13" s="1379"/>
      <c r="L13" s="1380"/>
      <c r="P13" s="2273"/>
      <c r="Q13" s="2273"/>
      <c r="R13" s="372"/>
      <c r="S13" s="1294"/>
      <c r="T13" s="303" t="s">
        <v>617</v>
      </c>
      <c r="U13" s="383"/>
      <c r="V13" s="383"/>
      <c r="W13" s="383"/>
      <c r="X13" s="383"/>
      <c r="Y13" s="383"/>
      <c r="Z13" s="383"/>
      <c r="AA13" s="383"/>
      <c r="AB13" s="383"/>
      <c r="AC13" s="383"/>
      <c r="AD13" s="1521"/>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40"/>
      <c r="BC13" s="2271"/>
      <c r="BE13" s="516"/>
      <c r="BF13" s="516" t="str">
        <f>IF(T13="","",T13)</f>
        <v>Добавить строку</v>
      </c>
      <c r="BG13" s="516"/>
      <c r="BH13" s="516"/>
      <c r="BI13" s="1171">
        <v>0</v>
      </c>
    </row>
    <row s="1658" customFormat="1" customHeight="1" ht="14.25" hidden="1">
      <c r="A14" s="1359"/>
      <c r="B14" s="1359"/>
      <c r="C14" s="1359"/>
      <c r="D14" s="1359"/>
      <c r="E14" s="2275"/>
      <c r="F14" s="2275"/>
      <c r="G14" s="2275"/>
      <c r="H14" s="2275"/>
      <c r="I14" s="2272"/>
      <c r="J14" s="1359"/>
      <c r="K14" s="1359"/>
      <c r="L14" s="1362"/>
      <c r="M14" s="526"/>
      <c r="N14" s="526"/>
      <c r="O14" s="526"/>
      <c r="P14" s="2273"/>
      <c r="Q14" s="1497"/>
      <c r="R14" s="372"/>
      <c r="S14" s="1402"/>
      <c r="T14" s="1403"/>
      <c r="U14" s="1404"/>
      <c r="V14" s="1404"/>
      <c r="W14" s="1404"/>
      <c r="X14" s="1404"/>
      <c r="Y14" s="1404"/>
      <c r="Z14" s="1404"/>
      <c r="AA14" s="1404"/>
      <c r="AB14" s="1404"/>
      <c r="AC14" s="1404"/>
      <c r="AD14" s="1404"/>
      <c r="AE14" s="1404"/>
      <c r="AF14" s="1404"/>
      <c r="AG14" s="1404"/>
      <c r="AH14" s="1404"/>
      <c r="AI14" s="1404"/>
      <c r="AJ14" s="1404"/>
      <c r="AK14" s="1404"/>
      <c r="AL14" s="1404"/>
      <c r="AM14" s="1404"/>
      <c r="AN14" s="1404"/>
      <c r="AO14" s="1404"/>
      <c r="AP14" s="1404"/>
      <c r="AQ14" s="1404"/>
      <c r="AR14" s="1404"/>
      <c r="AS14" s="1404"/>
      <c r="AT14" s="1404"/>
      <c r="AU14" s="1404"/>
      <c r="AV14" s="1404"/>
      <c r="AW14" s="1404"/>
      <c r="AX14" s="1404"/>
      <c r="AY14" s="1404"/>
      <c r="AZ14" s="1404"/>
      <c r="BA14" s="1404"/>
      <c r="BB14" s="1404"/>
      <c r="BC14" s="1405"/>
      <c r="BE14" s="516"/>
      <c r="BF14" s="516" t="str">
        <f>IF(T14="","",T14)</f>
        <v/>
      </c>
      <c r="BG14" s="516"/>
      <c r="BH14" s="516"/>
      <c r="BI14" s="527">
        <v>0</v>
      </c>
    </row>
    <row s="1658" customFormat="1" customHeight="1" ht="14.25" hidden="1">
      <c r="A15" s="1359"/>
      <c r="B15" s="1359"/>
      <c r="C15" s="1359"/>
      <c r="D15" s="1359"/>
      <c r="E15" s="2275"/>
      <c r="F15" s="2275"/>
      <c r="G15" s="2275"/>
      <c r="H15" s="2274"/>
      <c r="I15" s="1359"/>
      <c r="J15" s="1359"/>
      <c r="K15" s="1359"/>
      <c r="L15" s="1362"/>
      <c r="M15" s="1331"/>
      <c r="N15" s="1331"/>
      <c r="O15" s="534"/>
      <c r="P15" s="396"/>
      <c r="Q15" s="1360"/>
      <c r="R15" s="1417"/>
      <c r="S15" s="1402"/>
      <c r="T15" s="1403"/>
      <c r="U15" s="1404"/>
      <c r="V15" s="1404"/>
      <c r="W15" s="1404"/>
      <c r="X15" s="1404"/>
      <c r="Y15" s="1404"/>
      <c r="Z15" s="1404"/>
      <c r="AA15" s="1404"/>
      <c r="AB15" s="1404"/>
      <c r="AC15" s="1404"/>
      <c r="AD15" s="1404"/>
      <c r="AE15" s="1404"/>
      <c r="AF15" s="1404"/>
      <c r="AG15" s="1404"/>
      <c r="AH15" s="1404"/>
      <c r="AI15" s="1404"/>
      <c r="AJ15" s="1404"/>
      <c r="AK15" s="1404"/>
      <c r="AL15" s="1404"/>
      <c r="AM15" s="1404"/>
      <c r="AN15" s="1404"/>
      <c r="AO15" s="1404"/>
      <c r="AP15" s="1404"/>
      <c r="AQ15" s="1404"/>
      <c r="AR15" s="1404"/>
      <c r="AS15" s="1404"/>
      <c r="AT15" s="1404"/>
      <c r="AU15" s="1404"/>
      <c r="AV15" s="1404"/>
      <c r="AW15" s="1404"/>
      <c r="AX15" s="1404"/>
      <c r="AY15" s="1404"/>
      <c r="AZ15" s="1404"/>
      <c r="BA15" s="1404"/>
      <c r="BB15" s="1404"/>
      <c r="BC15" s="1405"/>
      <c r="BE15" s="516"/>
      <c r="BF15" s="516" t="str">
        <f>IF(T15="","",T15)</f>
        <v/>
      </c>
      <c r="BG15" s="516"/>
      <c r="BH15" s="516"/>
      <c r="BI15" s="527">
        <v>0</v>
      </c>
    </row>
    <row s="1658" customFormat="1" customHeight="1" ht="14.25" hidden="1">
      <c r="A16" s="1359"/>
      <c r="B16" s="1359"/>
      <c r="C16" s="1359"/>
      <c r="D16" s="1330"/>
      <c r="E16" s="2275"/>
      <c r="F16" s="2275"/>
      <c r="G16" s="2274"/>
      <c r="H16" s="1330"/>
      <c r="I16" s="1330"/>
      <c r="J16" s="1330"/>
      <c r="K16" s="1330"/>
      <c r="L16" s="1510"/>
      <c r="M16" s="1331"/>
      <c r="N16" s="1331"/>
      <c r="P16" s="1332"/>
      <c r="Q16" s="1333"/>
      <c r="R16" s="1332"/>
      <c r="S16" s="1338"/>
      <c r="T16" s="1341"/>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c r="BA16" s="1340"/>
      <c r="BB16" s="1340"/>
      <c r="BC16" s="1340"/>
      <c r="BE16" s="805"/>
      <c r="BF16" s="805" t="str">
        <f>IF(T16="","",T16)</f>
        <v/>
      </c>
      <c r="BG16" s="805"/>
      <c r="BH16" s="805"/>
      <c r="BI16" s="534">
        <v>0</v>
      </c>
    </row>
    <row s="1658" customFormat="1" customHeight="1" ht="14.25" hidden="1">
      <c r="A17" s="1359"/>
      <c r="B17" s="1359"/>
      <c r="C17" s="1330"/>
      <c r="D17" s="1330"/>
      <c r="E17" s="2275"/>
      <c r="F17" s="2274"/>
      <c r="G17" s="1330"/>
      <c r="H17" s="1330"/>
      <c r="I17" s="1330"/>
      <c r="J17" s="1330"/>
      <c r="K17" s="1330"/>
      <c r="L17" s="1510"/>
      <c r="M17" s="1337"/>
      <c r="N17" s="1337"/>
      <c r="P17" s="1332"/>
      <c r="Q17" s="1333"/>
      <c r="R17" s="1332"/>
      <c r="S17" s="1338"/>
      <c r="T17" s="1341" t="s">
        <v>269</v>
      </c>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E17" s="805"/>
      <c r="BF17" s="805" t="str">
        <f>IF(T17="","",T17)</f>
        <v>Добавить централизованную систему для дифференциации</v>
      </c>
      <c r="BG17" s="805"/>
      <c r="BH17" s="805"/>
      <c r="BI17" s="534">
        <v>0</v>
      </c>
    </row>
    <row s="1658" customFormat="1" customHeight="1" ht="14.25" hidden="1">
      <c r="A18" s="1359"/>
      <c r="B18" s="1359"/>
      <c r="C18" s="1359"/>
      <c r="D18" s="1359"/>
      <c r="E18" s="2274"/>
      <c r="F18" s="1359"/>
      <c r="G18" s="1359"/>
      <c r="H18" s="1359"/>
      <c r="I18" s="1359"/>
      <c r="J18" s="1359"/>
      <c r="K18" s="1359"/>
      <c r="L18" s="1362"/>
      <c r="M18" s="1337"/>
      <c r="N18" s="1337"/>
      <c r="O18" s="534"/>
      <c r="P18" s="396"/>
      <c r="Q18" s="1360"/>
      <c r="R18" s="396"/>
      <c r="S18" s="1338"/>
      <c r="T18" s="1341" t="s">
        <v>330</v>
      </c>
      <c r="U18" s="1340"/>
      <c r="V18" s="1340"/>
      <c r="W18" s="1340"/>
      <c r="X18" s="1340"/>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0"/>
      <c r="BC18" s="1340"/>
      <c r="BE18" s="516"/>
      <c r="BF18" s="516" t="str">
        <f>IF(T18="","",T18)</f>
        <v>Добавить территорию для дифференциации</v>
      </c>
      <c r="BG18" s="516"/>
      <c r="BH18" s="516"/>
      <c r="BI18" s="527">
        <v>0</v>
      </c>
    </row>
    <row customHeight="1" ht="14.25" hidden="1">
      <c r="AC19" s="343"/>
      <c r="BA19" s="343"/>
      <c r="BI19" s="1171">
        <v>0</v>
      </c>
    </row>
    <row customHeight="1" ht="14.25" hidden="1">
      <c r="AD20" s="1340" t="s">
        <v>19</v>
      </c>
      <c r="AE20" s="1517"/>
      <c r="AF20" s="564">
        <v>1</v>
      </c>
      <c r="AG20" s="1518"/>
      <c r="AH20" s="1340" t="s">
        <v>19</v>
      </c>
      <c r="AI20" s="1517"/>
      <c r="AJ20" s="564">
        <v>1</v>
      </c>
      <c r="AK20" s="1518"/>
      <c r="AL20" s="1340" t="s">
        <v>19</v>
      </c>
      <c r="AM20" s="1519"/>
      <c r="AN20" s="564">
        <v>1</v>
      </c>
      <c r="AO20" s="1520"/>
      <c r="AP20" s="1340" t="s">
        <v>19</v>
      </c>
      <c r="AQ20" s="1519"/>
      <c r="AR20" s="564">
        <v>1</v>
      </c>
      <c r="AS20" s="1520"/>
      <c r="AT20" s="341"/>
      <c r="AU20" s="400"/>
      <c r="AV20" s="341"/>
      <c r="AW20" s="400"/>
      <c r="AX20" s="1752"/>
      <c r="AY20" s="1501" t="s">
        <v>64</v>
      </c>
      <c r="AZ20" s="1752"/>
      <c r="BA20" s="1501" t="s">
        <v>64</v>
      </c>
      <c r="BI20" s="1171">
        <v>0</v>
      </c>
    </row>
    <row customHeight="1" ht="14.25" hidden="1">
      <c r="BD21" s="512"/>
      <c r="BE21" s="512"/>
      <c r="BF21" s="512"/>
      <c r="BG21" s="512"/>
      <c r="BH21" s="512"/>
      <c r="BI21" s="1171">
        <v>0</v>
      </c>
    </row>
    <row customHeight="1" ht="14.25" hidden="1">
      <c r="O22" s="1383" t="s">
        <v>567</v>
      </c>
      <c r="Z22" s="1361"/>
      <c r="AB22" s="1361"/>
      <c r="AC22" s="343"/>
      <c r="AX22" s="1361"/>
      <c r="AZ22" s="1361"/>
      <c r="BA22" s="343"/>
      <c r="BD22" s="512"/>
      <c r="BE22" s="512"/>
      <c r="BF22" s="512"/>
      <c r="BG22" s="512"/>
      <c r="BH22" s="512"/>
      <c r="BI22" s="1171">
        <v>0</v>
      </c>
    </row>
    <row customHeight="1" ht="14.25" hidden="1">
      <c r="AC23" s="343"/>
      <c r="BA23" s="343"/>
      <c r="BD23" s="512"/>
      <c r="BE23" s="512"/>
      <c r="BF23" s="512"/>
      <c r="BG23" s="512"/>
      <c r="BH23" s="512"/>
      <c r="BI23" s="1171">
        <v>0</v>
      </c>
    </row>
    <row s="1525" customFormat="1" customHeight="1" ht="14.25" hidden="1">
      <c r="M24" s="1524"/>
      <c r="N24" s="1524"/>
      <c r="O24" s="1525" t="s">
        <v>568</v>
      </c>
      <c r="P24" s="1524"/>
      <c r="Q24" s="1526"/>
      <c r="R24" s="1526"/>
      <c r="AA24" s="1523" t="s">
        <v>570</v>
      </c>
      <c r="AC24" s="1523" t="s">
        <v>571</v>
      </c>
      <c r="AD24" s="1523" t="s">
        <v>618</v>
      </c>
      <c r="AH24" s="1523" t="s">
        <v>618</v>
      </c>
      <c r="AK24" s="1523" t="s">
        <v>659</v>
      </c>
      <c r="AL24" s="1523" t="s">
        <v>618</v>
      </c>
      <c r="AP24" s="1523" t="s">
        <v>618</v>
      </c>
      <c r="AY24" s="1523" t="s">
        <v>570</v>
      </c>
      <c r="BA24" s="1523" t="s">
        <v>571</v>
      </c>
      <c r="BD24" s="1527"/>
      <c r="BE24" s="1527"/>
      <c r="BF24" s="1527"/>
      <c r="BG24" s="1527"/>
      <c r="BH24" s="1527"/>
      <c r="BI24" s="1523">
        <v>0</v>
      </c>
    </row>
    <row customHeight="1" ht="14.25" hidden="1">
      <c r="O25" s="1380"/>
      <c r="BD25" s="512"/>
      <c r="BE25" s="512"/>
      <c r="BF25" s="512"/>
      <c r="BG25" s="512"/>
      <c r="BH25" s="512"/>
      <c r="BI25" s="1171">
        <v>0</v>
      </c>
    </row>
    <row customHeight="1" ht="14.25" hidden="1">
      <c r="O26" s="1380"/>
      <c r="BD26" s="512"/>
      <c r="BE26" s="512"/>
      <c r="BF26" s="512"/>
      <c r="BG26" s="512"/>
      <c r="BH26" s="512"/>
      <c r="BI26" s="1171">
        <v>0</v>
      </c>
    </row>
    <row customHeight="1" ht="14.699999999999998">
      <c r="Q27" s="307"/>
      <c r="R27" s="392"/>
      <c r="S27" s="1291"/>
      <c r="T27" s="379"/>
      <c r="U27" s="379"/>
      <c r="V27" s="525"/>
      <c r="W27" s="525"/>
      <c r="X27" s="525"/>
      <c r="Y27" s="525"/>
      <c r="Z27" s="525"/>
      <c r="AA27" s="525"/>
      <c r="AB27" s="525"/>
      <c r="AC27" s="525"/>
      <c r="AD27" s="525"/>
      <c r="AE27" s="525"/>
      <c r="AF27" s="525"/>
      <c r="AG27" s="525"/>
      <c r="AH27" s="525"/>
      <c r="AI27" s="525"/>
      <c r="AJ27" s="525"/>
      <c r="AK27" s="525"/>
      <c r="AL27" s="525"/>
      <c r="AM27" s="525"/>
      <c r="AN27" s="525"/>
      <c r="AO27" s="525"/>
      <c r="AP27" s="525"/>
      <c r="AQ27" s="525"/>
      <c r="AR27" s="525"/>
      <c r="AS27" s="525"/>
      <c r="AT27" s="525"/>
      <c r="AU27" s="525"/>
      <c r="AV27" s="525"/>
      <c r="AW27" s="525"/>
      <c r="AX27" s="525"/>
      <c r="AY27" s="525"/>
      <c r="AZ27" s="525"/>
      <c r="BA27" s="525"/>
      <c r="BI27" s="1171">
        <v>14</v>
      </c>
    </row>
    <row customHeight="1" ht="14.699999999999998">
      <c r="Q28" s="307"/>
      <c r="R28" s="392"/>
      <c r="S28" s="226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59"/>
      <c r="BI28" s="1171">
        <v>14</v>
      </c>
    </row>
    <row customHeight="1" ht="14.699999999999998">
      <c r="Q29" s="307"/>
      <c r="R29" s="392"/>
      <c r="S29" s="2265" t="str">
        <f>IF(org=0,"Не определено",org)</f>
        <v>КГУП "Примтеплоэнерго"</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59"/>
      <c r="BI29" s="1171">
        <v>14</v>
      </c>
    </row>
    <row customHeight="1" ht="14.25">
      <c r="Q30" s="307"/>
      <c r="R30" s="392"/>
      <c r="S30" s="1291"/>
      <c r="T30" s="379"/>
      <c r="U30" s="379"/>
      <c r="V30" s="338"/>
      <c r="W30" s="338"/>
      <c r="X30" s="338"/>
      <c r="Y30" s="338"/>
      <c r="Z30" s="338"/>
      <c r="AA30" s="338"/>
      <c r="AB30" s="338"/>
      <c r="AC30" s="33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525"/>
      <c r="BI30" s="1171">
        <v>0</v>
      </c>
    </row>
    <row s="1869" customFormat="1" customHeight="1" ht="25.5">
      <c r="A31" s="1384"/>
      <c r="B31" s="1384"/>
      <c r="C31" s="1384"/>
      <c r="D31" s="1384"/>
      <c r="E31" s="1384"/>
      <c r="F31" s="1384"/>
      <c r="G31" s="1384"/>
      <c r="H31" s="1384"/>
      <c r="I31" s="1384"/>
      <c r="J31" s="1384"/>
      <c r="K31" s="1384"/>
      <c r="L31" s="1385"/>
      <c r="M31" s="1384"/>
      <c r="N31" s="1384"/>
      <c r="O31" s="1384"/>
      <c r="P31" s="1384"/>
      <c r="Q31" s="1384"/>
      <c r="S31" s="2266" t="s">
        <v>42</v>
      </c>
      <c r="T31" s="2266"/>
      <c r="U31" s="1388"/>
      <c r="V31" s="2267" t="str">
        <f>IF(TITLE_NAME_OR_PR_CHANGE="",IF(TITLE_NAME_OR_PR="","",TITLE_NAME_OR_PR),TITLE_NAME_OR_PR_CHANGE)</f>
        <v>Агентство по тарифам Приморского края</v>
      </c>
      <c r="W31" s="2267"/>
      <c r="X31" s="2267"/>
      <c r="Y31" s="2267"/>
      <c r="Z31" s="2267"/>
      <c r="AA31" s="2267"/>
      <c r="AB31" s="2267"/>
      <c r="AC31" s="342"/>
      <c r="AD31" s="2267" t="str">
        <f>IF(TITLE_NAME_OR_PR_CHANGE="",IF(TITLE_NAME_OR_PR="","",TITLE_NAME_OR_PR),TITLE_NAME_OR_PR_CHANGE)</f>
        <v>Агентство по тарифам Приморского края</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42"/>
      <c r="BB31" s="342"/>
      <c r="BC31" s="296"/>
      <c r="BD31" s="384"/>
      <c r="BE31" s="384"/>
      <c r="BF31" s="384"/>
      <c r="BG31" s="384"/>
      <c r="BH31" s="384"/>
      <c r="BI31" s="434">
        <v>0</v>
      </c>
    </row>
    <row s="1869" customFormat="1" customHeight="1" ht="18.75">
      <c r="A32" s="1384"/>
      <c r="B32" s="1384"/>
      <c r="C32" s="1384"/>
      <c r="D32" s="1384"/>
      <c r="E32" s="1384"/>
      <c r="F32" s="1384"/>
      <c r="G32" s="1384"/>
      <c r="H32" s="1384"/>
      <c r="I32" s="1384"/>
      <c r="J32" s="1384"/>
      <c r="K32" s="1384"/>
      <c r="L32" s="1385"/>
      <c r="M32" s="1384"/>
      <c r="N32" s="1384"/>
      <c r="O32" s="1384"/>
      <c r="P32" s="1384"/>
      <c r="Q32" s="1384"/>
      <c r="S32" s="2266" t="s">
        <v>573</v>
      </c>
      <c r="T32" s="2266"/>
      <c r="U32" s="1388"/>
      <c r="V32" s="2280" t="str">
        <f>IF(TITLE_DATE_PR_CHANGE="",IF(TITLE_DATE_PR="","",TITLE_DATE_PR),TITLE_DATE_PR_CHANGE)</f>
        <v>45910</v>
      </c>
      <c r="W32" s="2280"/>
      <c r="X32" s="2280"/>
      <c r="Y32" s="2280"/>
      <c r="Z32" s="2280"/>
      <c r="AA32" s="2280"/>
      <c r="AB32" s="2280"/>
      <c r="AC32" s="342"/>
      <c r="AD32" s="2280" t="str">
        <f>IF(TITLE_DATE_PR_CHANGE="",IF(TITLE_DATE_PR="","",TITLE_DATE_PR),TITLE_DATE_PR_CHANGE)</f>
        <v>45910</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42"/>
      <c r="BB32" s="342"/>
      <c r="BC32" s="296"/>
      <c r="BD32" s="384"/>
      <c r="BE32" s="384"/>
      <c r="BF32" s="384"/>
      <c r="BG32" s="384"/>
      <c r="BH32" s="384"/>
      <c r="BI32" s="434">
        <v>0</v>
      </c>
    </row>
    <row s="1869" customFormat="1" customHeight="1" ht="18.75">
      <c r="A33" s="1384"/>
      <c r="B33" s="1384"/>
      <c r="C33" s="1384"/>
      <c r="D33" s="1384"/>
      <c r="E33" s="1384"/>
      <c r="F33" s="1384"/>
      <c r="G33" s="1384"/>
      <c r="H33" s="1384"/>
      <c r="I33" s="1384"/>
      <c r="J33" s="1384"/>
      <c r="K33" s="1384"/>
      <c r="L33" s="1385"/>
      <c r="M33" s="1384"/>
      <c r="N33" s="1384"/>
      <c r="O33" s="1384"/>
      <c r="P33" s="1384"/>
      <c r="Q33" s="1384"/>
      <c r="S33" s="2266" t="s">
        <v>574</v>
      </c>
      <c r="T33" s="2266"/>
      <c r="U33" s="1388"/>
      <c r="V33" s="2267" t="str">
        <f>IF(TITLE_NUMBER_PR_CHANGE="",IF(TITLE_NUMBER_PR="","",TITLE_NUMBER_PR),TITLE_NUMBER_PR_CHANGE)</f>
        <v>37/2</v>
      </c>
      <c r="W33" s="2267"/>
      <c r="X33" s="2267"/>
      <c r="Y33" s="2267"/>
      <c r="Z33" s="2267"/>
      <c r="AA33" s="2267"/>
      <c r="AB33" s="2267"/>
      <c r="AC33" s="342"/>
      <c r="AD33" s="2267" t="str">
        <f>IF(TITLE_NUMBER_PR_CHANGE="",IF(TITLE_NUMBER_PR="","",TITLE_NUMBER_PR),TITLE_NUMBER_PR_CHANGE)</f>
        <v>37/2</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42"/>
      <c r="BB33" s="342"/>
      <c r="BC33" s="296"/>
      <c r="BD33" s="384"/>
      <c r="BE33" s="384"/>
      <c r="BF33" s="384"/>
      <c r="BG33" s="384"/>
      <c r="BH33" s="384"/>
      <c r="BI33" s="434">
        <v>0</v>
      </c>
    </row>
    <row s="1869" customFormat="1" customHeight="1" ht="18.75">
      <c r="A34" s="1384"/>
      <c r="B34" s="1384"/>
      <c r="C34" s="1384"/>
      <c r="D34" s="1384"/>
      <c r="E34" s="1384"/>
      <c r="F34" s="1384"/>
      <c r="G34" s="1384"/>
      <c r="H34" s="1384"/>
      <c r="I34" s="1384"/>
      <c r="J34" s="1384"/>
      <c r="K34" s="1384"/>
      <c r="L34" s="1385"/>
      <c r="M34" s="1384"/>
      <c r="N34" s="1384"/>
      <c r="O34" s="1384"/>
      <c r="P34" s="1384"/>
      <c r="Q34" s="1384"/>
      <c r="S34" s="2266" t="s">
        <v>44</v>
      </c>
      <c r="T34" s="2266"/>
      <c r="U34" s="1388"/>
      <c r="V34" s="2267" t="str">
        <f>IF(TITLE_IST_PUB_CHANGE="",IF(TITLE_IST_PUB="","",TITLE_IST_PUB),TITLE_IST_PUB_CHANGE)</f>
        <v>http://pravo.gov.ru</v>
      </c>
      <c r="W34" s="2267"/>
      <c r="X34" s="2267"/>
      <c r="Y34" s="2267"/>
      <c r="Z34" s="2267"/>
      <c r="AA34" s="2267"/>
      <c r="AB34" s="2267"/>
      <c r="AC34" s="342"/>
      <c r="AD34" s="2267" t="str">
        <f>IF(TITLE_IST_PUB_CHANGE="",IF(TITLE_IST_PUB="","",TITLE_IST_PUB),TITLE_IST_PUB_CHANGE)</f>
        <v>http://pravo.gov.ru</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42"/>
      <c r="BB34" s="342"/>
      <c r="BC34" s="296"/>
      <c r="BD34" s="384"/>
      <c r="BE34" s="384"/>
      <c r="BF34" s="384"/>
      <c r="BG34" s="384"/>
      <c r="BH34" s="384"/>
      <c r="BI34" s="434">
        <v>0</v>
      </c>
    </row>
    <row customHeight="1" ht="14.25" hidden="1">
      <c r="Q35" s="307"/>
      <c r="R35" s="392"/>
      <c r="S35" s="1291"/>
      <c r="T35" s="379"/>
      <c r="U35" s="379"/>
      <c r="V35" s="338"/>
      <c r="W35" s="338"/>
      <c r="X35" s="338"/>
      <c r="Y35" s="338"/>
      <c r="Z35" s="338"/>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8"/>
      <c r="AY35" s="338"/>
      <c r="AZ35" s="338"/>
      <c r="BA35" s="338"/>
      <c r="BB35" s="525"/>
      <c r="BI35" s="1171">
        <v>0</v>
      </c>
    </row>
    <row s="1869" customFormat="1" customHeight="1" ht="18.75" hidden="1">
      <c r="A36" s="1384"/>
      <c r="B36" s="1384"/>
      <c r="C36" s="1384"/>
      <c r="D36" s="1384"/>
      <c r="E36" s="1384"/>
      <c r="F36" s="1384"/>
      <c r="G36" s="1384"/>
      <c r="H36" s="1384"/>
      <c r="I36" s="1384"/>
      <c r="J36" s="1384"/>
      <c r="K36" s="1384"/>
      <c r="L36" s="1385"/>
      <c r="M36" s="1384"/>
      <c r="N36" s="1384"/>
      <c r="O36" s="1384"/>
      <c r="P36" s="1384"/>
      <c r="Q36" s="1384"/>
      <c r="S36" s="2266" t="s">
        <v>573</v>
      </c>
      <c r="T36" s="2266"/>
      <c r="U36" s="1388"/>
      <c r="V36" s="2280" t="str">
        <f>IF(TITLE_DATE_PR_CHANGE="",IF(TITLE_DATE_PR="","",TITLE_DATE_PR),TITLE_DATE_PR_CHANGE)</f>
        <v>45910</v>
      </c>
      <c r="W36" s="2280"/>
      <c r="X36" s="2280"/>
      <c r="Y36" s="2280"/>
      <c r="Z36" s="2280"/>
      <c r="AA36" s="2280"/>
      <c r="AB36" s="2280"/>
      <c r="AC36" s="342"/>
      <c r="AD36" s="2280" t="str">
        <f>IF(TITLE_DATE_PR_CHANGE="",IF(TITLE_DATE_PR="","",TITLE_DATE_PR),TITLE_DATE_PR_CHANGE)</f>
        <v>45910</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42"/>
      <c r="BB36" s="342"/>
      <c r="BC36" s="296"/>
      <c r="BD36" s="384"/>
      <c r="BE36" s="384"/>
      <c r="BF36" s="384"/>
      <c r="BG36" s="384"/>
      <c r="BH36" s="384"/>
      <c r="BI36" s="434">
        <v>0</v>
      </c>
    </row>
    <row s="1869" customFormat="1" customHeight="1" ht="18.75" hidden="1">
      <c r="A37" s="1384"/>
      <c r="B37" s="1384"/>
      <c r="C37" s="1384"/>
      <c r="D37" s="1384"/>
      <c r="E37" s="1384"/>
      <c r="F37" s="1384"/>
      <c r="G37" s="1384"/>
      <c r="H37" s="1384"/>
      <c r="I37" s="1384"/>
      <c r="J37" s="1384"/>
      <c r="K37" s="1384"/>
      <c r="L37" s="1385"/>
      <c r="M37" s="1384"/>
      <c r="N37" s="1384"/>
      <c r="O37" s="1384"/>
      <c r="P37" s="1384"/>
      <c r="Q37" s="1384"/>
      <c r="S37" s="2266" t="s">
        <v>574</v>
      </c>
      <c r="T37" s="2266"/>
      <c r="U37" s="1388"/>
      <c r="V37" s="2267" t="str">
        <f>IF(TITLE_NUMBER_PR_CHANGE="",IF(TITLE_NUMBER_PR="","",TITLE_NUMBER_PR),TITLE_NUMBER_PR_CHANGE)</f>
        <v>37/2</v>
      </c>
      <c r="W37" s="2267"/>
      <c r="X37" s="2267"/>
      <c r="Y37" s="2267"/>
      <c r="Z37" s="2267"/>
      <c r="AA37" s="2267"/>
      <c r="AB37" s="2267"/>
      <c r="AC37" s="342"/>
      <c r="AD37" s="2267" t="str">
        <f>IF(TITLE_NUMBER_PR_CHANGE="",IF(TITLE_NUMBER_PR="","",TITLE_NUMBER_PR),TITLE_NUMBER_PR_CHANGE)</f>
        <v>37/2</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42"/>
      <c r="BB37" s="342"/>
      <c r="BC37" s="296"/>
      <c r="BD37" s="384"/>
      <c r="BE37" s="384"/>
      <c r="BF37" s="384"/>
      <c r="BG37" s="384"/>
      <c r="BH37" s="384"/>
      <c r="BI37" s="434">
        <v>0</v>
      </c>
    </row>
    <row s="1869" customFormat="1" customHeight="1" ht="0">
      <c r="A38" s="1384"/>
      <c r="B38" s="1384"/>
      <c r="C38" s="1384"/>
      <c r="D38" s="1384"/>
      <c r="E38" s="1384"/>
      <c r="F38" s="1384"/>
      <c r="G38" s="1384"/>
      <c r="H38" s="1384"/>
      <c r="I38" s="1384"/>
      <c r="J38" s="1384"/>
      <c r="K38" s="1384"/>
      <c r="L38" s="1385"/>
      <c r="M38" s="1384"/>
      <c r="N38" s="1384"/>
      <c r="O38" s="1384"/>
      <c r="P38" s="1384"/>
      <c r="Q38" s="1384"/>
      <c r="S38" s="339"/>
      <c r="T38" s="339"/>
      <c r="U38" s="1504"/>
      <c r="V38" s="342"/>
      <c r="W38" s="342"/>
      <c r="X38" s="342"/>
      <c r="Y38" s="342"/>
      <c r="Z38" s="342"/>
      <c r="AA38" s="342"/>
      <c r="AB38" s="342"/>
      <c r="AC38" s="294" t="s">
        <v>577</v>
      </c>
      <c r="AD38" s="342"/>
      <c r="AE38" s="342"/>
      <c r="AF38" s="342"/>
      <c r="AG38" s="342"/>
      <c r="AH38" s="342"/>
      <c r="AI38" s="342"/>
      <c r="AJ38" s="342"/>
      <c r="AK38" s="342"/>
      <c r="AL38" s="342"/>
      <c r="AM38" s="342"/>
      <c r="AN38" s="342"/>
      <c r="AO38" s="342"/>
      <c r="AP38" s="342"/>
      <c r="AQ38" s="342"/>
      <c r="AR38" s="342"/>
      <c r="AS38" s="342"/>
      <c r="AT38" s="342"/>
      <c r="AU38" s="342"/>
      <c r="AV38" s="342"/>
      <c r="AW38" s="342"/>
      <c r="AX38" s="342"/>
      <c r="AY38" s="342"/>
      <c r="AZ38" s="342"/>
      <c r="BA38" s="294" t="s">
        <v>577</v>
      </c>
      <c r="BD38" s="384"/>
      <c r="BE38" s="384"/>
      <c r="BF38" s="384"/>
      <c r="BG38" s="384"/>
      <c r="BH38" s="384"/>
      <c r="BI38" s="434">
        <v>0</v>
      </c>
    </row>
    <row customHeight="1" ht="14.699999999999998">
      <c r="Q39" s="307"/>
      <c r="R39" s="392"/>
      <c r="S39" s="1291"/>
      <c r="T39" s="379"/>
      <c r="U39" s="1260"/>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71">
        <v>14</v>
      </c>
    </row>
    <row customHeight="1" ht="14.699999999999998">
      <c r="Q40" s="307"/>
      <c r="R40" s="392"/>
      <c r="S40" s="2143" t="s">
        <v>453</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454</v>
      </c>
      <c r="BI40" s="1171">
        <v>14</v>
      </c>
    </row>
    <row customHeight="1" ht="14.699999999999998">
      <c r="Q41" s="307"/>
      <c r="R41" s="392"/>
      <c r="S41" s="2289" t="s">
        <v>91</v>
      </c>
      <c r="T41" s="2225" t="s">
        <v>660</v>
      </c>
      <c r="U41" s="317"/>
      <c r="V41" s="2290" t="s">
        <v>579</v>
      </c>
      <c r="W41" s="2291"/>
      <c r="X41" s="2291"/>
      <c r="Y41" s="2291"/>
      <c r="Z41" s="2291"/>
      <c r="AA41" s="2291"/>
      <c r="AB41" s="2292"/>
      <c r="AC41" s="2293" t="s">
        <v>580</v>
      </c>
      <c r="AD41" s="2344" t="s">
        <v>661</v>
      </c>
      <c r="AE41" s="2307"/>
      <c r="AF41" s="2307"/>
      <c r="AG41" s="2345"/>
      <c r="AH41" s="2344" t="s">
        <v>662</v>
      </c>
      <c r="AI41" s="2307"/>
      <c r="AJ41" s="2307"/>
      <c r="AK41" s="2345"/>
      <c r="AL41" s="2344" t="s">
        <v>663</v>
      </c>
      <c r="AM41" s="2307"/>
      <c r="AN41" s="2307"/>
      <c r="AO41" s="2345"/>
      <c r="AP41" s="2344" t="s">
        <v>664</v>
      </c>
      <c r="AQ41" s="2307"/>
      <c r="AR41" s="2307"/>
      <c r="AS41" s="2345"/>
      <c r="AT41" s="2290" t="s">
        <v>579</v>
      </c>
      <c r="AU41" s="2291"/>
      <c r="AV41" s="2291"/>
      <c r="AW41" s="2291"/>
      <c r="AX41" s="2291"/>
      <c r="AY41" s="2291"/>
      <c r="AZ41" s="2292"/>
      <c r="BA41" s="2293" t="s">
        <v>580</v>
      </c>
      <c r="BB41" s="2296" t="s">
        <v>582</v>
      </c>
      <c r="BC41" s="2143"/>
      <c r="BI41" s="1171">
        <v>14</v>
      </c>
    </row>
    <row customHeight="1" ht="35.699999999999996">
      <c r="Q42" s="307"/>
      <c r="R42" s="392"/>
      <c r="S42" s="2289"/>
      <c r="T42" s="2225"/>
      <c r="U42" s="1047"/>
      <c r="V42" s="2208" t="s">
        <v>665</v>
      </c>
      <c r="W42" s="2209"/>
      <c r="X42" s="2208" t="s">
        <v>666</v>
      </c>
      <c r="Y42" s="2209"/>
      <c r="Z42" s="2310" t="s">
        <v>667</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665</v>
      </c>
      <c r="AU42" s="2209"/>
      <c r="AV42" s="2208" t="s">
        <v>666</v>
      </c>
      <c r="AW42" s="2209"/>
      <c r="AX42" s="2310" t="s">
        <v>667</v>
      </c>
      <c r="AY42" s="2329"/>
      <c r="AZ42" s="2330"/>
      <c r="BA42" s="2294"/>
      <c r="BB42" s="2297"/>
      <c r="BC42" s="2143"/>
      <c r="BI42" s="1171">
        <v>34</v>
      </c>
    </row>
    <row customHeight="1" ht="14.699999999999998">
      <c r="Q43" s="307"/>
      <c r="R43" s="392"/>
      <c r="S43" s="2289"/>
      <c r="T43" s="2225"/>
      <c r="U43" s="1047"/>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71">
        <v>14</v>
      </c>
    </row>
    <row customHeight="1" ht="14.699999999999998">
      <c r="A44" s="1386"/>
      <c r="B44" s="1386" t="s">
        <v>204</v>
      </c>
      <c r="C44" s="1386" t="s">
        <v>205</v>
      </c>
      <c r="D44" s="1386" t="s">
        <v>206</v>
      </c>
      <c r="E44" s="1380" t="s">
        <v>587</v>
      </c>
      <c r="F44" s="1380" t="s">
        <v>588</v>
      </c>
      <c r="G44" s="1380" t="s">
        <v>589</v>
      </c>
      <c r="H44" s="1380" t="s">
        <v>590</v>
      </c>
      <c r="I44" s="1380" t="s">
        <v>591</v>
      </c>
      <c r="J44" s="1380" t="s">
        <v>592</v>
      </c>
      <c r="K44" s="1380" t="s">
        <v>593</v>
      </c>
      <c r="L44" s="1380" t="s">
        <v>568</v>
      </c>
      <c r="Q44" s="307"/>
      <c r="R44" s="392"/>
      <c r="S44" s="2289"/>
      <c r="T44" s="2225"/>
      <c r="U44" s="318"/>
      <c r="V44" s="1495" t="s">
        <v>628</v>
      </c>
      <c r="W44" s="1495" t="s">
        <v>629</v>
      </c>
      <c r="X44" s="1495" t="s">
        <v>628</v>
      </c>
      <c r="Y44" s="1495" t="s">
        <v>629</v>
      </c>
      <c r="Z44" s="1505" t="s">
        <v>596</v>
      </c>
      <c r="AA44" s="2286" t="s">
        <v>597</v>
      </c>
      <c r="AB44" s="2287"/>
      <c r="AC44" s="2295"/>
      <c r="AD44" s="2349"/>
      <c r="AE44" s="2350"/>
      <c r="AF44" s="2350"/>
      <c r="AG44" s="2351"/>
      <c r="AH44" s="2349"/>
      <c r="AI44" s="2350"/>
      <c r="AJ44" s="2350"/>
      <c r="AK44" s="2351"/>
      <c r="AL44" s="2349"/>
      <c r="AM44" s="2350"/>
      <c r="AN44" s="2350"/>
      <c r="AO44" s="2351"/>
      <c r="AP44" s="2349"/>
      <c r="AQ44" s="2350"/>
      <c r="AR44" s="2350"/>
      <c r="AS44" s="2351"/>
      <c r="AT44" s="1495" t="s">
        <v>628</v>
      </c>
      <c r="AU44" s="1495" t="s">
        <v>629</v>
      </c>
      <c r="AV44" s="1495" t="s">
        <v>628</v>
      </c>
      <c r="AW44" s="1495" t="s">
        <v>629</v>
      </c>
      <c r="AX44" s="1505" t="s">
        <v>596</v>
      </c>
      <c r="AY44" s="2286" t="s">
        <v>597</v>
      </c>
      <c r="AZ44" s="2287"/>
      <c r="BA44" s="2295"/>
      <c r="BB44" s="2298"/>
      <c r="BC44" s="2143"/>
      <c r="BI44" s="1171">
        <v>14</v>
      </c>
    </row>
    <row s="1657" customFormat="1" customHeight="1" ht="0">
      <c r="A45" s="1386"/>
      <c r="B45" s="1386"/>
      <c r="C45" s="1386"/>
      <c r="D45" s="1386"/>
      <c r="E45" s="1386"/>
      <c r="F45" s="1386"/>
      <c r="G45" s="1386"/>
      <c r="H45" s="1386"/>
      <c r="I45" s="1386"/>
      <c r="J45" s="1386"/>
      <c r="K45" s="1386"/>
      <c r="L45" s="1380"/>
      <c r="M45" s="1378"/>
      <c r="N45" s="1378"/>
      <c r="O45" s="1378"/>
      <c r="P45" s="526"/>
      <c r="Q45" s="1270"/>
      <c r="R45" s="1270">
        <v>1</v>
      </c>
      <c r="S45" s="1293" t="s">
        <v>141</v>
      </c>
      <c r="T45" s="1271" t="s">
        <v>107</v>
      </c>
      <c r="U45" s="1261" t="str">
        <f>OFFSET(U45,0,-1)</f>
        <v>2</v>
      </c>
      <c r="V45" s="1498">
        <f>OFFSET(V45,0,-1)+1</f>
        <v>3</v>
      </c>
      <c r="W45" s="1498">
        <f>OFFSET(W45,0,-1)+1</f>
        <v>4</v>
      </c>
      <c r="X45" s="1498">
        <f>OFFSET(X45,0,-1)+1</f>
        <v>5</v>
      </c>
      <c r="Y45" s="1498">
        <f>OFFSET(Y45,0,-1)+1</f>
        <v>6</v>
      </c>
      <c r="Z45" s="1498">
        <f>OFFSET(Z45,0,-1)+1</f>
        <v>7</v>
      </c>
      <c r="AA45" s="2288">
        <f>OFFSET(AA45,0,-1)+1</f>
        <v>8</v>
      </c>
      <c r="AB45" s="2288"/>
      <c r="AC45" s="1498">
        <f>OFFSET(AC45,0,-2)+1</f>
        <v>9</v>
      </c>
      <c r="AD45" s="1498">
        <f>OFFSET(AD45,0,-1)+1</f>
        <v>10</v>
      </c>
      <c r="AE45" s="1498"/>
      <c r="AF45" s="1498"/>
      <c r="AG45" s="1498"/>
      <c r="AH45" s="1498"/>
      <c r="AI45" s="1498"/>
      <c r="AJ45" s="1498"/>
      <c r="AK45" s="1498"/>
      <c r="AL45" s="1498"/>
      <c r="AM45" s="1498"/>
      <c r="AN45" s="1498"/>
      <c r="AO45" s="1498"/>
      <c r="AP45" s="1498"/>
      <c r="AQ45" s="1498"/>
      <c r="AR45" s="1498"/>
      <c r="AS45" s="1498"/>
      <c r="AT45" s="1498"/>
      <c r="AU45" s="1498"/>
      <c r="AV45" s="1498"/>
      <c r="AW45" s="1498">
        <f>OFFSET(AW45,0,-1)+1</f>
        <v>1</v>
      </c>
      <c r="AX45" s="1498">
        <f>OFFSET(AX45,0,-1)+1</f>
        <v>2</v>
      </c>
      <c r="AY45" s="2288">
        <f>OFFSET(AY45,0,-1)+1</f>
        <v>3</v>
      </c>
      <c r="AZ45" s="2288"/>
      <c r="BA45" s="1498">
        <f>OFFSET(BA45,0,-2)+1</f>
        <v>4</v>
      </c>
      <c r="BB45" s="1261">
        <f>OFFSET(BB45,0,-1)</f>
        <v>4</v>
      </c>
      <c r="BC45" s="1498">
        <f>OFFSET(BC45,0,-1)+1</f>
        <v>5</v>
      </c>
      <c r="BD45" s="527"/>
      <c r="BE45" s="527"/>
      <c r="BF45" s="527"/>
      <c r="BG45" s="527"/>
      <c r="BH45" s="527"/>
      <c r="BI45" s="512">
        <v>0</v>
      </c>
    </row>
    <row customHeight="1" ht="22.049999999999997">
      <c r="A46" s="1379" t="s">
        <v>414</v>
      </c>
      <c r="B46" s="1379"/>
      <c r="C46" s="1379"/>
      <c r="D46" s="1379"/>
      <c r="E46" s="2274">
        <v>1</v>
      </c>
      <c r="F46" s="1379"/>
      <c r="G46" s="1379"/>
      <c r="H46" s="1379"/>
      <c r="I46" s="1379"/>
      <c r="J46" s="1379"/>
      <c r="K46" s="1379"/>
      <c r="L46" s="1380"/>
      <c r="M46" s="1381"/>
      <c r="N46" s="1381"/>
      <c r="O46" s="1381"/>
      <c r="P46" s="1425"/>
      <c r="Q46" s="889"/>
      <c r="R46" s="371"/>
      <c r="S46" s="1509">
        <f>INDEX(PT_DIFFERENTIATION_NUM_NTAR,MATCH(A46,PT_DIFFERENTIATION_NTAR_ID,0))</f>
        <v>0</v>
      </c>
      <c r="T46" s="314" t="s">
        <v>192</v>
      </c>
      <c r="U46" s="316"/>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6"/>
      <c r="BF46" s="516" t="str">
        <f>IF(T46="","",T46)</f>
        <v>Наименование тарифа</v>
      </c>
      <c r="BG46" s="516"/>
      <c r="BH46" s="516"/>
      <c r="BI46" s="1171">
        <v>21</v>
      </c>
    </row>
    <row customHeight="1" ht="22.049999999999997">
      <c r="A47" s="1379" t="s">
        <v>414</v>
      </c>
      <c r="B47" s="1379" t="s">
        <v>415</v>
      </c>
      <c r="C47" s="1379"/>
      <c r="D47" s="1379"/>
      <c r="E47" s="2275"/>
      <c r="F47" s="2274">
        <v>1</v>
      </c>
      <c r="G47" s="1379"/>
      <c r="H47" s="1379"/>
      <c r="I47" s="1379"/>
      <c r="J47" s="1379"/>
      <c r="K47" s="1379"/>
      <c r="L47" s="1380"/>
      <c r="M47" s="1381"/>
      <c r="N47" s="1381"/>
      <c r="O47" s="1381"/>
      <c r="P47" s="1426"/>
      <c r="Q47" s="1427"/>
      <c r="R47" s="369"/>
      <c r="S47" s="1509" t="str">
        <f>INDEX(PT_DIFFERENTIATION_NUM_TER,MATCH(B47,PT_DIFFERENTIATION_TER_ID,0))</f>
        <v>.</v>
      </c>
      <c r="T47" s="324" t="s">
        <v>550</v>
      </c>
      <c r="U47" s="316"/>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74" t="s">
        <v>551</v>
      </c>
      <c r="BE47" s="516"/>
      <c r="BF47" s="516" t="str">
        <f>IF(T47="","",T47)</f>
        <v>Территория действия тарифа</v>
      </c>
      <c r="BG47" s="516"/>
      <c r="BH47" s="516"/>
      <c r="BI47" s="1171">
        <v>21</v>
      </c>
    </row>
    <row customHeight="1" ht="35.699999999999996">
      <c r="A48" s="1379" t="s">
        <v>414</v>
      </c>
      <c r="B48" s="1379" t="s">
        <v>415</v>
      </c>
      <c r="C48" s="1379" t="s">
        <v>416</v>
      </c>
      <c r="D48" s="1379"/>
      <c r="E48" s="2275"/>
      <c r="F48" s="2275"/>
      <c r="G48" s="2274">
        <v>1</v>
      </c>
      <c r="H48" s="1379"/>
      <c r="I48" s="1379"/>
      <c r="J48" s="1379"/>
      <c r="K48" s="1379"/>
      <c r="L48" s="1380"/>
      <c r="M48" s="1381"/>
      <c r="N48" s="1381"/>
      <c r="O48" s="1381"/>
      <c r="P48" s="1428"/>
      <c r="Q48" s="1427"/>
      <c r="R48" s="369"/>
      <c r="S48" s="1509" t="str">
        <f>INDEX(PT_DIFFERENTIATION_NUM_CS,MATCH(C48,PT_DIFFERENTIATION_CS_ID,0))</f>
        <v>..</v>
      </c>
      <c r="T48" s="325" t="s">
        <v>683</v>
      </c>
      <c r="U48" s="316"/>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74" t="s">
        <v>684</v>
      </c>
      <c r="BE48" s="516"/>
      <c r="BF48" s="516" t="str">
        <f>IF(T48="","",T48)</f>
        <v>Наименование централизованной системы горячего водоснабжения</v>
      </c>
      <c r="BG48" s="516"/>
      <c r="BH48" s="516"/>
      <c r="BI48" s="1171">
        <v>34</v>
      </c>
    </row>
    <row s="1658" customFormat="1" customHeight="1" ht="0">
      <c r="A49" s="1359" t="s">
        <v>414</v>
      </c>
      <c r="B49" s="1359" t="s">
        <v>415</v>
      </c>
      <c r="C49" s="1359" t="s">
        <v>416</v>
      </c>
      <c r="D49" s="1359" t="s">
        <v>697</v>
      </c>
      <c r="E49" s="2275"/>
      <c r="F49" s="2275"/>
      <c r="G49" s="2275"/>
      <c r="H49" s="2274">
        <v>1</v>
      </c>
      <c r="I49" s="1359"/>
      <c r="J49" s="1359"/>
      <c r="K49" s="1359"/>
      <c r="L49" s="1362"/>
      <c r="M49" s="1331"/>
      <c r="N49" s="1331"/>
      <c r="O49" s="1331"/>
      <c r="P49" s="1513"/>
      <c r="Q49" s="1514"/>
      <c r="R49" s="373"/>
      <c r="S49" s="1058"/>
      <c r="T49" s="1515"/>
      <c r="U49" s="1400"/>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401" t="s">
        <v>555</v>
      </c>
      <c r="BE49" s="516"/>
      <c r="BF49" s="516" t="str">
        <f>IF(T49="","",T49)</f>
        <v/>
      </c>
      <c r="BG49" s="516"/>
      <c r="BH49" s="516"/>
      <c r="BI49" s="527">
        <v>0</v>
      </c>
    </row>
    <row s="1658" customFormat="1" customHeight="1" ht="0">
      <c r="A50" s="1359" t="s">
        <v>414</v>
      </c>
      <c r="B50" s="1359" t="s">
        <v>415</v>
      </c>
      <c r="C50" s="1359" t="s">
        <v>416</v>
      </c>
      <c r="D50" s="1359" t="s">
        <v>697</v>
      </c>
      <c r="E50" s="2275"/>
      <c r="F50" s="2275"/>
      <c r="G50" s="2275"/>
      <c r="H50" s="2275"/>
      <c r="I50" s="2272" t="str">
        <f>S49&amp;".1"</f>
        <v>.1</v>
      </c>
      <c r="J50" s="1359"/>
      <c r="K50" s="1359"/>
      <c r="L50" s="1362" t="s">
        <v>556</v>
      </c>
      <c r="M50" s="526"/>
      <c r="N50" s="526"/>
      <c r="O50" s="526"/>
      <c r="P50" s="2273">
        <v>1</v>
      </c>
      <c r="Q50" s="1497"/>
      <c r="R50" s="372"/>
      <c r="S50" s="1058"/>
      <c r="T50" s="1399"/>
      <c r="U50" s="1400"/>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401"/>
      <c r="BE50" s="516"/>
      <c r="BF50" s="516" t="str">
        <f>IF(T50="","",T50)</f>
        <v/>
      </c>
      <c r="BG50" s="516"/>
      <c r="BH50" s="516"/>
      <c r="BI50" s="527">
        <v>0</v>
      </c>
    </row>
    <row s="1658" customFormat="1" customHeight="1" ht="0">
      <c r="A51" s="1359" t="s">
        <v>414</v>
      </c>
      <c r="B51" s="1359" t="s">
        <v>415</v>
      </c>
      <c r="C51" s="1359" t="s">
        <v>416</v>
      </c>
      <c r="D51" s="1359" t="s">
        <v>697</v>
      </c>
      <c r="E51" s="2275"/>
      <c r="F51" s="2275"/>
      <c r="G51" s="2275"/>
      <c r="H51" s="2275"/>
      <c r="I51" s="2302"/>
      <c r="J51" s="2272" t="str">
        <f>S49&amp;".1"</f>
        <v>.1</v>
      </c>
      <c r="K51" s="1359"/>
      <c r="L51" s="1362"/>
      <c r="M51" s="526"/>
      <c r="N51" s="526"/>
      <c r="O51" s="526"/>
      <c r="P51" s="2273"/>
      <c r="Q51" s="2273">
        <v>1</v>
      </c>
      <c r="R51" s="373"/>
      <c r="S51" s="1058"/>
      <c r="T51" s="1415"/>
      <c r="U51" s="1400"/>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401"/>
      <c r="BE51" s="516"/>
      <c r="BF51" s="516" t="str">
        <f>IF(T51="","",T51)</f>
        <v/>
      </c>
      <c r="BG51" s="516"/>
      <c r="BH51" s="516"/>
      <c r="BI51" s="527">
        <v>0</v>
      </c>
    </row>
    <row customHeight="1" ht="11.549999999999999">
      <c r="A52" s="1379" t="s">
        <v>414</v>
      </c>
      <c r="B52" s="1379" t="s">
        <v>415</v>
      </c>
      <c r="C52" s="1379" t="s">
        <v>416</v>
      </c>
      <c r="D52" s="1379" t="s">
        <v>697</v>
      </c>
      <c r="E52" s="2275"/>
      <c r="F52" s="2275"/>
      <c r="G52" s="2275"/>
      <c r="H52" s="2275"/>
      <c r="I52" s="2302"/>
      <c r="J52" s="2302"/>
      <c r="K52" s="2272" t="str">
        <f>S48&amp;".1"</f>
        <v>...1</v>
      </c>
      <c r="L52" s="1380"/>
      <c r="P52" s="2273"/>
      <c r="Q52" s="2273"/>
      <c r="R52" s="373">
        <v>1</v>
      </c>
      <c r="S52" s="2357" t="str">
        <f>$K52</f>
        <v>...1</v>
      </c>
      <c r="T52" s="2376"/>
      <c r="U52" s="316"/>
      <c r="V52" s="767"/>
      <c r="W52" s="1273"/>
      <c r="X52" s="767"/>
      <c r="Y52" s="1273"/>
      <c r="Z52" s="1750"/>
      <c r="AA52" s="1485" t="s">
        <v>64</v>
      </c>
      <c r="AB52" s="1750"/>
      <c r="AC52" s="1485" t="s">
        <v>64</v>
      </c>
      <c r="AD52" s="2201" t="s">
        <v>64</v>
      </c>
      <c r="AE52" s="2342"/>
      <c r="AF52" s="2221">
        <v>1</v>
      </c>
      <c r="AG52" s="2379"/>
      <c r="AH52" s="2123" t="s">
        <v>64</v>
      </c>
      <c r="AI52" s="2342"/>
      <c r="AJ52" s="2221">
        <v>1</v>
      </c>
      <c r="AK52" s="2343" t="s">
        <v>28</v>
      </c>
      <c r="AL52" s="2123" t="s">
        <v>64</v>
      </c>
      <c r="AM52" s="2208"/>
      <c r="AN52" s="2221">
        <v>1</v>
      </c>
      <c r="AO52" s="2373"/>
      <c r="AP52" s="2374" t="s">
        <v>64</v>
      </c>
      <c r="AQ52" s="327"/>
      <c r="AR52" s="1502">
        <v>1</v>
      </c>
      <c r="AS52" s="1508" t="s">
        <v>28</v>
      </c>
      <c r="AT52" s="767"/>
      <c r="AU52" s="1273"/>
      <c r="AV52" s="767"/>
      <c r="AW52" s="1273"/>
      <c r="AX52" s="1750"/>
      <c r="AY52" s="1485" t="s">
        <v>64</v>
      </c>
      <c r="AZ52" s="1750"/>
      <c r="BA52" s="1485" t="s">
        <v>64</v>
      </c>
      <c r="BB52" s="1364"/>
      <c r="BC52" s="2269" t="s">
        <v>654</v>
      </c>
      <c r="BE52" s="516"/>
      <c r="BF52" s="516" t="str">
        <f>IF(T52="","",T52)</f>
        <v/>
      </c>
      <c r="BG52" s="516"/>
      <c r="BH52" s="516"/>
      <c r="BI52" s="1171">
        <v>11</v>
      </c>
    </row>
    <row customHeight="1" ht="11.549999999999999">
      <c r="A53" s="1379"/>
      <c r="B53" s="1379"/>
      <c r="C53" s="1379"/>
      <c r="D53" s="1379"/>
      <c r="E53" s="2275"/>
      <c r="F53" s="2275"/>
      <c r="G53" s="2275"/>
      <c r="H53" s="2275"/>
      <c r="I53" s="2302"/>
      <c r="J53" s="2302"/>
      <c r="K53" s="2272"/>
      <c r="L53" s="1380"/>
      <c r="P53" s="2273"/>
      <c r="Q53" s="2273"/>
      <c r="R53" s="373"/>
      <c r="S53" s="2358"/>
      <c r="T53" s="2377"/>
      <c r="U53" s="316"/>
      <c r="V53" s="1409"/>
      <c r="W53" s="1512"/>
      <c r="X53" s="1409"/>
      <c r="Y53" s="1512"/>
      <c r="Z53" s="1409"/>
      <c r="AA53" s="1409"/>
      <c r="AB53" s="1409"/>
      <c r="AC53" s="1409"/>
      <c r="AD53" s="2202"/>
      <c r="AE53" s="2342"/>
      <c r="AF53" s="2221"/>
      <c r="AG53" s="2379"/>
      <c r="AH53" s="2123"/>
      <c r="AI53" s="2342"/>
      <c r="AJ53" s="2221"/>
      <c r="AK53" s="2343"/>
      <c r="AL53" s="2123"/>
      <c r="AM53" s="2216"/>
      <c r="AN53" s="2221"/>
      <c r="AO53" s="2373"/>
      <c r="AP53" s="2375"/>
      <c r="AQ53" s="332"/>
      <c r="AR53" s="432"/>
      <c r="AS53" s="432" t="s">
        <v>655</v>
      </c>
      <c r="AT53" s="1409"/>
      <c r="AU53" s="1512"/>
      <c r="AV53" s="1409"/>
      <c r="AW53" s="1512"/>
      <c r="AX53" s="1409"/>
      <c r="AY53" s="1409"/>
      <c r="AZ53" s="1409"/>
      <c r="BA53" s="1409"/>
      <c r="BB53" s="1413"/>
      <c r="BC53" s="2270"/>
      <c r="BE53" s="516"/>
      <c r="BF53" s="516"/>
      <c r="BG53" s="516"/>
      <c r="BH53" s="516"/>
      <c r="BI53" s="1171">
        <v>11</v>
      </c>
    </row>
    <row customHeight="1" ht="11.549999999999999">
      <c r="A54" s="1379" t="s">
        <v>414</v>
      </c>
      <c r="B54" s="1379"/>
      <c r="C54" s="1379"/>
      <c r="D54" s="1379"/>
      <c r="E54" s="2275"/>
      <c r="F54" s="2275"/>
      <c r="G54" s="2275"/>
      <c r="H54" s="2275"/>
      <c r="I54" s="2302"/>
      <c r="J54" s="2302"/>
      <c r="K54" s="2272"/>
      <c r="L54" s="1380"/>
      <c r="P54" s="2273"/>
      <c r="Q54" s="2273"/>
      <c r="R54" s="373"/>
      <c r="S54" s="2358"/>
      <c r="T54" s="2377"/>
      <c r="U54" s="316"/>
      <c r="V54" s="1409"/>
      <c r="W54" s="1512"/>
      <c r="X54" s="1409"/>
      <c r="Y54" s="1512"/>
      <c r="Z54" s="1409"/>
      <c r="AA54" s="1409"/>
      <c r="AB54" s="1409"/>
      <c r="AC54" s="1409"/>
      <c r="AD54" s="2202"/>
      <c r="AE54" s="2342"/>
      <c r="AF54" s="2221"/>
      <c r="AG54" s="2379"/>
      <c r="AH54" s="2123"/>
      <c r="AI54" s="2342"/>
      <c r="AJ54" s="2221"/>
      <c r="AK54" s="2343"/>
      <c r="AL54" s="2123"/>
      <c r="AM54" s="332"/>
      <c r="AN54" s="1516"/>
      <c r="AO54" s="1516" t="s">
        <v>656</v>
      </c>
      <c r="AP54" s="432"/>
      <c r="AQ54" s="432"/>
      <c r="AR54" s="432"/>
      <c r="AS54" s="1409"/>
      <c r="AT54" s="1409"/>
      <c r="AU54" s="1512"/>
      <c r="AV54" s="1409"/>
      <c r="AW54" s="1512"/>
      <c r="AX54" s="1409"/>
      <c r="AY54" s="1409"/>
      <c r="AZ54" s="1409"/>
      <c r="BA54" s="1409"/>
      <c r="BB54" s="1413"/>
      <c r="BC54" s="2270"/>
      <c r="BE54" s="516"/>
      <c r="BF54" s="516"/>
      <c r="BG54" s="516"/>
      <c r="BH54" s="516"/>
      <c r="BI54" s="1171">
        <v>11</v>
      </c>
    </row>
    <row customHeight="1" ht="11.549999999999999">
      <c r="A55" s="1379" t="s">
        <v>414</v>
      </c>
      <c r="B55" s="1379"/>
      <c r="C55" s="1379"/>
      <c r="D55" s="1379"/>
      <c r="E55" s="2275"/>
      <c r="F55" s="2275"/>
      <c r="G55" s="2275"/>
      <c r="H55" s="2275"/>
      <c r="I55" s="2302"/>
      <c r="J55" s="2302"/>
      <c r="K55" s="2272"/>
      <c r="L55" s="1380"/>
      <c r="P55" s="2273"/>
      <c r="Q55" s="2273"/>
      <c r="R55" s="373"/>
      <c r="S55" s="2358"/>
      <c r="T55" s="2377"/>
      <c r="U55" s="316"/>
      <c r="V55" s="1409"/>
      <c r="W55" s="1512"/>
      <c r="X55" s="1409"/>
      <c r="Y55" s="1512"/>
      <c r="Z55" s="1409"/>
      <c r="AA55" s="1409"/>
      <c r="AB55" s="1409"/>
      <c r="AC55" s="1409"/>
      <c r="AD55" s="2202"/>
      <c r="AE55" s="2342"/>
      <c r="AF55" s="2221"/>
      <c r="AG55" s="2379"/>
      <c r="AH55" s="2123"/>
      <c r="AI55" s="310"/>
      <c r="AJ55" s="431"/>
      <c r="AK55" s="329" t="s">
        <v>657</v>
      </c>
      <c r="AL55" s="1409"/>
      <c r="AM55" s="1409"/>
      <c r="AN55" s="1409"/>
      <c r="AO55" s="1409"/>
      <c r="AP55" s="1409"/>
      <c r="AQ55" s="1409"/>
      <c r="AR55" s="1409"/>
      <c r="AS55" s="1409"/>
      <c r="AT55" s="1409"/>
      <c r="AU55" s="1512"/>
      <c r="AV55" s="1409"/>
      <c r="AW55" s="1512"/>
      <c r="AX55" s="1409"/>
      <c r="AY55" s="1409"/>
      <c r="AZ55" s="1409"/>
      <c r="BA55" s="1409"/>
      <c r="BB55" s="1413"/>
      <c r="BC55" s="2270"/>
      <c r="BE55" s="516"/>
      <c r="BF55" s="516"/>
      <c r="BG55" s="516"/>
      <c r="BH55" s="516"/>
      <c r="BI55" s="1171">
        <v>11</v>
      </c>
    </row>
    <row customHeight="1" ht="11.549999999999999">
      <c r="A56" s="1379" t="s">
        <v>414</v>
      </c>
      <c r="B56" s="1379" t="s">
        <v>415</v>
      </c>
      <c r="C56" s="1379" t="s">
        <v>416</v>
      </c>
      <c r="D56" s="1379" t="s">
        <v>697</v>
      </c>
      <c r="E56" s="2275"/>
      <c r="F56" s="2275"/>
      <c r="G56" s="2275"/>
      <c r="H56" s="2275"/>
      <c r="I56" s="2302"/>
      <c r="J56" s="2302"/>
      <c r="K56" s="2272"/>
      <c r="L56" s="1380"/>
      <c r="P56" s="2273"/>
      <c r="Q56" s="2273"/>
      <c r="R56" s="373"/>
      <c r="S56" s="2359"/>
      <c r="T56" s="2378"/>
      <c r="U56" s="316"/>
      <c r="V56" s="1409"/>
      <c r="W56" s="1410" t="str">
        <f>Z52&amp;"-"&amp;AB52</f>
        <v>-</v>
      </c>
      <c r="X56" s="1409"/>
      <c r="Y56" s="1410" t="str">
        <f>AB52&amp;"-"&amp;AD52</f>
        <v>-да</v>
      </c>
      <c r="Z56" s="1409"/>
      <c r="AA56" s="1409"/>
      <c r="AB56" s="1409"/>
      <c r="AC56" s="1409"/>
      <c r="AD56" s="2128"/>
      <c r="AE56" s="328"/>
      <c r="AF56" s="330"/>
      <c r="AG56" s="432" t="s">
        <v>658</v>
      </c>
      <c r="AH56" s="1409"/>
      <c r="AI56" s="1409"/>
      <c r="AJ56" s="1409"/>
      <c r="AK56" s="1409"/>
      <c r="AL56" s="1409"/>
      <c r="AM56" s="1409"/>
      <c r="AN56" s="1409"/>
      <c r="AO56" s="1409"/>
      <c r="AP56" s="1409"/>
      <c r="AQ56" s="1409"/>
      <c r="AR56" s="1409"/>
      <c r="AS56" s="1409"/>
      <c r="AT56" s="1409"/>
      <c r="AU56" s="1410" t="str">
        <f>AX52&amp;"-"&amp;AZ52</f>
        <v>-</v>
      </c>
      <c r="AV56" s="1409"/>
      <c r="AW56" s="1410" t="str">
        <f>AZ52&amp;"-"&amp;BB52</f>
        <v>-</v>
      </c>
      <c r="AX56" s="1409"/>
      <c r="AY56" s="1409"/>
      <c r="AZ56" s="1409"/>
      <c r="BA56" s="1409"/>
      <c r="BB56" s="1412" t="str">
        <f>BE52&amp;"-"&amp;BG52</f>
        <v>-</v>
      </c>
      <c r="BC56" s="2270"/>
      <c r="BE56" s="516"/>
      <c r="BF56" s="516" t="str">
        <f>IF(T56="","",T56)</f>
        <v/>
      </c>
      <c r="BG56" s="516"/>
      <c r="BH56" s="516"/>
      <c r="BI56" s="1171">
        <v>11</v>
      </c>
    </row>
    <row customHeight="1" ht="11.549999999999999">
      <c r="A57" s="1379" t="s">
        <v>414</v>
      </c>
      <c r="B57" s="1379" t="s">
        <v>415</v>
      </c>
      <c r="C57" s="1379" t="s">
        <v>416</v>
      </c>
      <c r="D57" s="1379" t="s">
        <v>697</v>
      </c>
      <c r="E57" s="2275"/>
      <c r="F57" s="2275"/>
      <c r="G57" s="2275"/>
      <c r="H57" s="2275"/>
      <c r="I57" s="2302"/>
      <c r="J57" s="2272"/>
      <c r="K57" s="1379"/>
      <c r="L57" s="1380"/>
      <c r="P57" s="2273"/>
      <c r="Q57" s="2273"/>
      <c r="R57" s="372"/>
      <c r="S57" s="1294"/>
      <c r="T57" s="303" t="s">
        <v>617</v>
      </c>
      <c r="U57" s="383"/>
      <c r="V57" s="383"/>
      <c r="W57" s="383"/>
      <c r="X57" s="383"/>
      <c r="Y57" s="383"/>
      <c r="Z57" s="383"/>
      <c r="AA57" s="383"/>
      <c r="AB57" s="383"/>
      <c r="AC57" s="340"/>
      <c r="AD57" s="1521"/>
      <c r="AE57" s="383"/>
      <c r="AF57" s="383"/>
      <c r="AG57" s="383"/>
      <c r="AH57" s="383"/>
      <c r="AI57" s="383"/>
      <c r="AJ57" s="383"/>
      <c r="AK57" s="383"/>
      <c r="AL57" s="383"/>
      <c r="AM57" s="383"/>
      <c r="AN57" s="383"/>
      <c r="AO57" s="383"/>
      <c r="AP57" s="383"/>
      <c r="AQ57" s="383"/>
      <c r="AR57" s="383"/>
      <c r="AS57" s="383"/>
      <c r="AT57" s="383"/>
      <c r="AU57" s="383"/>
      <c r="AV57" s="383"/>
      <c r="AW57" s="383"/>
      <c r="AX57" s="383"/>
      <c r="AY57" s="383"/>
      <c r="AZ57" s="383"/>
      <c r="BA57" s="383"/>
      <c r="BB57" s="340"/>
      <c r="BC57" s="2271"/>
      <c r="BE57" s="516"/>
      <c r="BF57" s="516" t="str">
        <f>IF(T57="","",T57)</f>
        <v>Добавить строку</v>
      </c>
      <c r="BG57" s="516"/>
      <c r="BH57" s="516"/>
      <c r="BI57" s="1171">
        <v>11</v>
      </c>
    </row>
    <row s="1658" customFormat="1" customHeight="1" ht="0">
      <c r="A58" s="1359" t="s">
        <v>414</v>
      </c>
      <c r="B58" s="1359" t="s">
        <v>415</v>
      </c>
      <c r="C58" s="1359" t="s">
        <v>416</v>
      </c>
      <c r="D58" s="1359" t="s">
        <v>697</v>
      </c>
      <c r="E58" s="2275"/>
      <c r="F58" s="2275"/>
      <c r="G58" s="2275"/>
      <c r="H58" s="2275"/>
      <c r="I58" s="2272"/>
      <c r="J58" s="1359"/>
      <c r="K58" s="1359"/>
      <c r="L58" s="1362"/>
      <c r="M58" s="526"/>
      <c r="N58" s="526"/>
      <c r="O58" s="526"/>
      <c r="P58" s="2273"/>
      <c r="Q58" s="1497"/>
      <c r="R58" s="372"/>
      <c r="S58" s="1402"/>
      <c r="T58" s="1403"/>
      <c r="U58" s="1404"/>
      <c r="V58" s="1404"/>
      <c r="W58" s="1404"/>
      <c r="X58" s="1404"/>
      <c r="Y58" s="1404"/>
      <c r="Z58" s="1404"/>
      <c r="AA58" s="1404"/>
      <c r="AB58" s="1404"/>
      <c r="AC58" s="1404"/>
      <c r="AD58" s="1404"/>
      <c r="AE58" s="1404"/>
      <c r="AF58" s="1404"/>
      <c r="AG58" s="1404"/>
      <c r="AH58" s="1404"/>
      <c r="AI58" s="1404"/>
      <c r="AJ58" s="1404"/>
      <c r="AK58" s="1404"/>
      <c r="AL58" s="1404"/>
      <c r="AM58" s="1404"/>
      <c r="AN58" s="1404"/>
      <c r="AO58" s="1404"/>
      <c r="AP58" s="1404"/>
      <c r="AQ58" s="1404"/>
      <c r="AR58" s="1404"/>
      <c r="AS58" s="1404"/>
      <c r="AT58" s="1404"/>
      <c r="AU58" s="1404"/>
      <c r="AV58" s="1404"/>
      <c r="AW58" s="1404"/>
      <c r="AX58" s="1404"/>
      <c r="AY58" s="1404"/>
      <c r="AZ58" s="1404"/>
      <c r="BA58" s="1404"/>
      <c r="BB58" s="1404"/>
      <c r="BC58" s="1405"/>
      <c r="BE58" s="516"/>
      <c r="BF58" s="516" t="str">
        <f>IF(T58="","",T58)</f>
        <v/>
      </c>
      <c r="BG58" s="516"/>
      <c r="BH58" s="516"/>
      <c r="BI58" s="527">
        <v>0</v>
      </c>
    </row>
    <row s="1658" customFormat="1" customHeight="1" ht="0">
      <c r="A59" s="1359" t="s">
        <v>414</v>
      </c>
      <c r="B59" s="1359" t="s">
        <v>415</v>
      </c>
      <c r="C59" s="1359" t="s">
        <v>416</v>
      </c>
      <c r="D59" s="1359" t="s">
        <v>697</v>
      </c>
      <c r="E59" s="2275"/>
      <c r="F59" s="2275"/>
      <c r="G59" s="2275"/>
      <c r="H59" s="2274"/>
      <c r="I59" s="1359"/>
      <c r="J59" s="1359"/>
      <c r="K59" s="1359"/>
      <c r="L59" s="1362"/>
      <c r="M59" s="1331"/>
      <c r="N59" s="1331"/>
      <c r="O59" s="534"/>
      <c r="P59" s="396"/>
      <c r="Q59" s="1360"/>
      <c r="R59" s="1417"/>
      <c r="S59" s="1402"/>
      <c r="T59" s="1403"/>
      <c r="U59" s="1404"/>
      <c r="V59" s="1404"/>
      <c r="W59" s="1404"/>
      <c r="X59" s="1404"/>
      <c r="Y59" s="1404"/>
      <c r="Z59" s="1404"/>
      <c r="AA59" s="1404"/>
      <c r="AB59" s="1404"/>
      <c r="AC59" s="1404"/>
      <c r="AD59" s="1404"/>
      <c r="AE59" s="1404"/>
      <c r="AF59" s="1404"/>
      <c r="AG59" s="1404"/>
      <c r="AH59" s="1404"/>
      <c r="AI59" s="1404"/>
      <c r="AJ59" s="1404"/>
      <c r="AK59" s="1404"/>
      <c r="AL59" s="1404"/>
      <c r="AM59" s="1404"/>
      <c r="AN59" s="1404"/>
      <c r="AO59" s="1404"/>
      <c r="AP59" s="1404"/>
      <c r="AQ59" s="1404"/>
      <c r="AR59" s="1404"/>
      <c r="AS59" s="1404"/>
      <c r="AT59" s="1404"/>
      <c r="AU59" s="1404"/>
      <c r="AV59" s="1404"/>
      <c r="AW59" s="1404"/>
      <c r="AX59" s="1404"/>
      <c r="AY59" s="1404"/>
      <c r="AZ59" s="1404"/>
      <c r="BA59" s="1404"/>
      <c r="BB59" s="1404"/>
      <c r="BC59" s="1405"/>
      <c r="BE59" s="516"/>
      <c r="BF59" s="516" t="str">
        <f>IF(T59="","",T59)</f>
        <v/>
      </c>
      <c r="BG59" s="516"/>
      <c r="BH59" s="516"/>
      <c r="BI59" s="527">
        <v>0</v>
      </c>
    </row>
    <row s="1658" customFormat="1" customHeight="1" ht="0">
      <c r="A60" s="1359" t="s">
        <v>414</v>
      </c>
      <c r="B60" s="1359" t="s">
        <v>415</v>
      </c>
      <c r="C60" s="1359" t="s">
        <v>416</v>
      </c>
      <c r="D60" s="1330"/>
      <c r="E60" s="2275"/>
      <c r="F60" s="2275"/>
      <c r="G60" s="2274"/>
      <c r="H60" s="1330"/>
      <c r="I60" s="1330"/>
      <c r="J60" s="1330"/>
      <c r="K60" s="1330"/>
      <c r="L60" s="1510"/>
      <c r="M60" s="1331"/>
      <c r="N60" s="1331"/>
      <c r="P60" s="1332"/>
      <c r="Q60" s="1333"/>
      <c r="R60" s="1332"/>
      <c r="S60" s="1338"/>
      <c r="T60" s="1341"/>
      <c r="U60" s="1340"/>
      <c r="V60" s="1340"/>
      <c r="W60" s="1340"/>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340"/>
      <c r="AS60" s="1340"/>
      <c r="AT60" s="1340"/>
      <c r="AU60" s="1340"/>
      <c r="AV60" s="1340"/>
      <c r="AW60" s="1340"/>
      <c r="AX60" s="1340"/>
      <c r="AY60" s="1340"/>
      <c r="AZ60" s="1340"/>
      <c r="BA60" s="1340"/>
      <c r="BB60" s="1340"/>
      <c r="BC60" s="1340"/>
      <c r="BE60" s="805"/>
      <c r="BF60" s="805" t="str">
        <f>IF(T60="","",T60)</f>
        <v/>
      </c>
      <c r="BG60" s="805"/>
      <c r="BH60" s="805"/>
      <c r="BI60" s="534">
        <v>0</v>
      </c>
    </row>
    <row s="1658" customFormat="1" customHeight="1" ht="0">
      <c r="A61" s="1359" t="s">
        <v>414</v>
      </c>
      <c r="B61" s="1359" t="s">
        <v>415</v>
      </c>
      <c r="C61" s="1330"/>
      <c r="D61" s="1330"/>
      <c r="E61" s="2275"/>
      <c r="F61" s="2274"/>
      <c r="G61" s="1330"/>
      <c r="H61" s="1330"/>
      <c r="I61" s="1330"/>
      <c r="J61" s="1330"/>
      <c r="K61" s="1330"/>
      <c r="L61" s="1510"/>
      <c r="M61" s="1337"/>
      <c r="N61" s="1337"/>
      <c r="P61" s="1332"/>
      <c r="Q61" s="1333"/>
      <c r="R61" s="1332"/>
      <c r="S61" s="1338"/>
      <c r="T61" s="1341" t="s">
        <v>269</v>
      </c>
      <c r="U61" s="1340"/>
      <c r="V61" s="1340"/>
      <c r="W61" s="1340"/>
      <c r="X61" s="1340"/>
      <c r="Y61" s="1340"/>
      <c r="Z61" s="1340"/>
      <c r="AA61" s="1340"/>
      <c r="AB61" s="1340"/>
      <c r="AC61" s="1340"/>
      <c r="AD61" s="1340"/>
      <c r="AE61" s="1340"/>
      <c r="AF61" s="1340"/>
      <c r="AG61" s="1340"/>
      <c r="AH61" s="1340"/>
      <c r="AI61" s="1340"/>
      <c r="AJ61" s="1340"/>
      <c r="AK61" s="1340"/>
      <c r="AL61" s="1340"/>
      <c r="AM61" s="1340"/>
      <c r="AN61" s="1340"/>
      <c r="AO61" s="1340"/>
      <c r="AP61" s="1340"/>
      <c r="AQ61" s="1340"/>
      <c r="AR61" s="1340"/>
      <c r="AS61" s="1340"/>
      <c r="AT61" s="1340"/>
      <c r="AU61" s="1340"/>
      <c r="AV61" s="1340"/>
      <c r="AW61" s="1340"/>
      <c r="AX61" s="1340"/>
      <c r="AY61" s="1340"/>
      <c r="AZ61" s="1340"/>
      <c r="BA61" s="1340"/>
      <c r="BB61" s="1340"/>
      <c r="BC61" s="1340"/>
      <c r="BE61" s="805"/>
      <c r="BF61" s="805" t="str">
        <f>IF(T61="","",T61)</f>
        <v>Добавить централизованную систему для дифференциации</v>
      </c>
      <c r="BG61" s="805"/>
      <c r="BH61" s="805"/>
      <c r="BI61" s="534">
        <v>0</v>
      </c>
    </row>
    <row s="1658" customFormat="1" customHeight="1" ht="0">
      <c r="A62" s="1359" t="s">
        <v>414</v>
      </c>
      <c r="B62" s="1359"/>
      <c r="C62" s="1359"/>
      <c r="D62" s="1359"/>
      <c r="E62" s="2274"/>
      <c r="F62" s="1359"/>
      <c r="G62" s="1359"/>
      <c r="H62" s="1359"/>
      <c r="I62" s="1359"/>
      <c r="J62" s="1359"/>
      <c r="K62" s="1359"/>
      <c r="L62" s="1362"/>
      <c r="M62" s="1337"/>
      <c r="N62" s="1337"/>
      <c r="O62" s="534"/>
      <c r="P62" s="396"/>
      <c r="Q62" s="1360"/>
      <c r="R62" s="396"/>
      <c r="S62" s="1338"/>
      <c r="T62" s="1341" t="s">
        <v>330</v>
      </c>
      <c r="U62" s="1340"/>
      <c r="V62" s="1340"/>
      <c r="W62" s="1340"/>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340"/>
      <c r="AS62" s="1340"/>
      <c r="AT62" s="1340"/>
      <c r="AU62" s="1340"/>
      <c r="AV62" s="1340"/>
      <c r="AW62" s="1340"/>
      <c r="AX62" s="1340"/>
      <c r="AY62" s="1340"/>
      <c r="AZ62" s="1340"/>
      <c r="BA62" s="1340"/>
      <c r="BB62" s="1340"/>
      <c r="BC62" s="1340"/>
      <c r="BE62" s="516"/>
      <c r="BF62" s="516" t="str">
        <f>IF(T62="","",T62)</f>
        <v>Добавить территорию для дифференциации</v>
      </c>
      <c r="BG62" s="516"/>
      <c r="BH62" s="516"/>
      <c r="BI62" s="527">
        <v>0</v>
      </c>
    </row>
    <row s="1658" customFormat="1" customHeight="1" ht="0">
      <c r="A63" s="1330"/>
      <c r="B63" s="1330"/>
      <c r="C63" s="1330"/>
      <c r="D63" s="1330"/>
      <c r="E63" s="1359"/>
      <c r="F63" s="1330"/>
      <c r="G63" s="1330"/>
      <c r="H63" s="1330"/>
      <c r="I63" s="1330"/>
      <c r="J63" s="1330"/>
      <c r="K63" s="1330"/>
      <c r="L63" s="1510"/>
      <c r="M63" s="1337"/>
      <c r="N63" s="1337"/>
      <c r="P63" s="1332"/>
      <c r="Q63" s="1333"/>
      <c r="R63" s="1332"/>
      <c r="S63" s="1338"/>
      <c r="T63" s="1341" t="s">
        <v>356</v>
      </c>
      <c r="U63" s="1340"/>
      <c r="V63" s="1340"/>
      <c r="W63" s="1340"/>
      <c r="X63" s="1340"/>
      <c r="Y63" s="1340"/>
      <c r="Z63" s="1340"/>
      <c r="AA63" s="1340"/>
      <c r="AB63" s="1340"/>
      <c r="AC63" s="1340"/>
      <c r="AD63" s="1340"/>
      <c r="AE63" s="1340"/>
      <c r="AF63" s="1340"/>
      <c r="AG63" s="1340"/>
      <c r="AH63" s="1340"/>
      <c r="AI63" s="1340"/>
      <c r="AJ63" s="1340"/>
      <c r="AK63" s="1340"/>
      <c r="AL63" s="1340"/>
      <c r="AM63" s="1340"/>
      <c r="AN63" s="1340"/>
      <c r="AO63" s="1340"/>
      <c r="AP63" s="1340"/>
      <c r="AQ63" s="1340"/>
      <c r="AR63" s="1340"/>
      <c r="AS63" s="1340"/>
      <c r="AT63" s="1340"/>
      <c r="AU63" s="1340"/>
      <c r="AV63" s="1340"/>
      <c r="AW63" s="1340"/>
      <c r="AX63" s="1340"/>
      <c r="AY63" s="1340"/>
      <c r="AZ63" s="1340"/>
      <c r="BA63" s="1340"/>
      <c r="BB63" s="1340"/>
      <c r="BC63" s="1340"/>
      <c r="BE63" s="805"/>
      <c r="BF63" s="805" t="str">
        <f>IF(T63="","",T63)</f>
        <v>Добавить наименование тарифа</v>
      </c>
      <c r="BG63" s="805"/>
      <c r="BH63" s="805"/>
      <c r="BI63" s="534">
        <v>0</v>
      </c>
    </row>
    <row customHeight="1" ht="11.549999999999999">
      <c r="M64" s="1176"/>
      <c r="N64" s="1176"/>
      <c r="O64" s="553"/>
      <c r="P64" s="1176"/>
      <c r="Q64" s="1176"/>
      <c r="R64" s="1171"/>
      <c r="S64" s="1171"/>
      <c r="BD64" s="1171"/>
      <c r="BE64" s="1171"/>
      <c r="BF64" s="1171"/>
      <c r="BG64" s="1171"/>
      <c r="BH64" s="1171"/>
      <c r="BI64" s="1171">
        <v>11</v>
      </c>
    </row>
    <row customHeight="1" ht="19.95">
      <c r="O65" s="553"/>
      <c r="S65" s="1269"/>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71">
        <v>19</v>
      </c>
    </row>
    <row customHeight="1" ht="14.699999999999998">
      <c r="O66" s="553"/>
      <c r="T66" s="1496"/>
      <c r="U66" s="1496"/>
      <c r="V66" s="1496"/>
      <c r="W66" s="1496"/>
      <c r="X66" s="1496"/>
      <c r="Y66" s="1496"/>
      <c r="Z66" s="1496"/>
      <c r="AA66" s="1496"/>
      <c r="AB66" s="1496"/>
      <c r="AC66" s="1496"/>
      <c r="AD66" s="1496"/>
      <c r="AE66" s="1496"/>
      <c r="AF66" s="1496"/>
      <c r="AG66" s="1496"/>
      <c r="AH66" s="1496"/>
      <c r="AI66" s="1496"/>
      <c r="AJ66" s="1496"/>
      <c r="AK66" s="1496"/>
      <c r="AL66" s="1496"/>
      <c r="AM66" s="1496"/>
      <c r="AN66" s="1496"/>
      <c r="AO66" s="1496"/>
      <c r="AP66" s="1496"/>
      <c r="AQ66" s="1496"/>
      <c r="AR66" s="1496"/>
      <c r="AS66" s="1496"/>
      <c r="AT66" s="1496"/>
      <c r="AU66" s="1496"/>
      <c r="AV66" s="1496"/>
      <c r="AW66" s="1496"/>
      <c r="AX66" s="1496"/>
      <c r="AY66" s="1496"/>
      <c r="AZ66" s="1496"/>
      <c r="BA66" s="1496"/>
      <c r="BB66" s="1496"/>
      <c r="BC66" s="1496"/>
      <c r="BI66" s="1171">
        <v>14</v>
      </c>
    </row>
    <row customHeight="1" ht="19.95">
      <c r="O67" s="553"/>
      <c r="S67" s="1269"/>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71">
        <v>19</v>
      </c>
    </row>
    <row customHeight="1" ht="14.699999999999998">
      <c r="O68" s="553"/>
      <c r="BI68" s="1171">
        <v>14</v>
      </c>
    </row>
    <row customHeight="1" ht="14.25" hidden="1">
      <c r="A69" s="1176" t="s">
        <v>85</v>
      </c>
      <c r="B69" s="1176">
        <v>0</v>
      </c>
      <c r="C69" s="1176">
        <v>0</v>
      </c>
      <c r="D69" s="1176">
        <v>0</v>
      </c>
      <c r="E69" s="1176">
        <v>0</v>
      </c>
      <c r="F69" s="1176">
        <v>0</v>
      </c>
      <c r="G69" s="1176">
        <v>0</v>
      </c>
      <c r="H69" s="1176">
        <v>0</v>
      </c>
      <c r="I69" s="1176">
        <v>0</v>
      </c>
      <c r="J69" s="1176">
        <v>0</v>
      </c>
      <c r="K69" s="1176">
        <v>0</v>
      </c>
      <c r="L69" s="1494">
        <v>0</v>
      </c>
      <c r="M69" s="1378">
        <v>0</v>
      </c>
      <c r="N69" s="1378">
        <v>0</v>
      </c>
      <c r="O69" s="1378">
        <v>0</v>
      </c>
      <c r="P69" s="1378">
        <v>0</v>
      </c>
      <c r="Q69" s="1387">
        <v>0</v>
      </c>
      <c r="R69" s="360">
        <v>3</v>
      </c>
      <c r="S69" s="597">
        <v>12</v>
      </c>
      <c r="T69" s="1171">
        <v>31</v>
      </c>
      <c r="U69" s="1171">
        <v>0</v>
      </c>
      <c r="V69" s="1171">
        <v>0</v>
      </c>
      <c r="W69" s="1171">
        <v>0</v>
      </c>
      <c r="X69" s="1171">
        <v>0</v>
      </c>
      <c r="Y69" s="1171">
        <v>0</v>
      </c>
      <c r="Z69" s="1171">
        <v>0</v>
      </c>
      <c r="AA69" s="1171">
        <v>0</v>
      </c>
      <c r="AB69" s="1171">
        <v>0</v>
      </c>
      <c r="AC69" s="1171">
        <v>0</v>
      </c>
      <c r="AD69" s="1171">
        <v>3</v>
      </c>
      <c r="AE69" s="1171">
        <v>3</v>
      </c>
      <c r="AF69" s="1171">
        <v>3</v>
      </c>
      <c r="AG69" s="1171">
        <v>24</v>
      </c>
      <c r="AH69" s="1171">
        <v>3</v>
      </c>
      <c r="AI69" s="1171">
        <v>3</v>
      </c>
      <c r="AJ69" s="1171">
        <v>3</v>
      </c>
      <c r="AK69" s="1171">
        <v>24</v>
      </c>
      <c r="AL69" s="1171">
        <v>3</v>
      </c>
      <c r="AM69" s="1171">
        <v>3</v>
      </c>
      <c r="AN69" s="1171">
        <v>3</v>
      </c>
      <c r="AO69" s="1171">
        <v>18</v>
      </c>
      <c r="AP69" s="1171">
        <v>3</v>
      </c>
      <c r="AQ69" s="1171">
        <v>3</v>
      </c>
      <c r="AR69" s="1171">
        <v>3</v>
      </c>
      <c r="AS69" s="1171">
        <v>18</v>
      </c>
      <c r="AT69" s="1171">
        <v>21</v>
      </c>
      <c r="AU69" s="1171">
        <v>21</v>
      </c>
      <c r="AV69" s="1171">
        <v>21</v>
      </c>
      <c r="AW69" s="1171">
        <v>21</v>
      </c>
      <c r="AX69" s="1171">
        <v>11</v>
      </c>
      <c r="AY69" s="1171">
        <v>3</v>
      </c>
      <c r="AZ69" s="1171">
        <v>11</v>
      </c>
      <c r="BA69" s="1171">
        <v>0</v>
      </c>
      <c r="BB69" s="1171">
        <v>4</v>
      </c>
      <c r="BC69" s="1171">
        <v>115</v>
      </c>
      <c r="BD69" s="527">
        <v>10</v>
      </c>
      <c r="BE69" s="527">
        <v>10</v>
      </c>
      <c r="BF69" s="527">
        <v>10</v>
      </c>
      <c r="BG69" s="527">
        <v>10</v>
      </c>
      <c r="BH69" s="527">
        <v>10</v>
      </c>
      <c r="BI69" s="117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EE203-0D01-7F19-EE25-BFBC6AEFE40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003" width="10.7109375" hidden="1" customWidth="1"/>
    <col min="2" max="2" style="1382" width="16.8515625" hidden="1" customWidth="1"/>
    <col min="3" max="3" style="1658" width="5.57421875" hidden="1" customWidth="1"/>
    <col min="4" max="4" style="1651" width="3.00390625" customWidth="1"/>
    <col min="5" max="5" style="1651" width="7.00390625" customWidth="1"/>
    <col min="6" max="6" style="1651" width="54.00390625" customWidth="1"/>
    <col min="7" max="7" style="1651" width="10.00390625" customWidth="1"/>
    <col min="8" max="8" style="1651" width="40.7109375" hidden="1" customWidth="1"/>
    <col min="9" max="9" style="1651" width="40.7109375" customWidth="1"/>
    <col min="10" max="10" style="1651" width="102.00390625" customWidth="1"/>
    <col min="11" max="11" style="1382" width="9.00390625" customWidth="1"/>
    <col min="12" max="12" style="1658" width="5.00390625" customWidth="1"/>
    <col min="13" max="13" style="1658" width="3.00390625" customWidth="1"/>
    <col min="14" max="17" style="1382" width="3.00390625" customWidth="1"/>
    <col min="18" max="18" style="1658" width="10.00390625" customWidth="1"/>
    <col min="19" max="19" style="1382" width="34.00390625" customWidth="1"/>
    <col min="20" max="20" style="1382" width="9.00390625" customWidth="1"/>
    <col min="21" max="21" style="752" width="8.00390625" customWidth="1"/>
    <col min="22" max="26" style="1382" width="8.00390625" customWidth="1"/>
    <col min="27" max="31" style="1648" width="8.00390625" customWidth="1"/>
    <col min="32" max="32" style="1651" width="9.140625" hidden="1"/>
  </cols>
  <sheetData>
    <row customHeight="1" ht="22.5" hidden="1">
      <c r="AF1" s="1647" t="s">
        <v>14</v>
      </c>
    </row>
    <row customHeight="1" ht="23.25" hidden="1">
      <c r="B2" s="2115"/>
      <c r="C2" s="1183" t="s">
        <v>698</v>
      </c>
      <c r="D2" s="1654"/>
      <c r="E2" s="562">
        <f>B2</f>
        <v>0</v>
      </c>
      <c r="F2" s="563"/>
      <c r="G2" s="1662" t="s">
        <v>699</v>
      </c>
      <c r="H2" s="1662" t="s">
        <v>699</v>
      </c>
      <c r="I2" s="1662" t="s">
        <v>699</v>
      </c>
      <c r="J2" s="305" t="s">
        <v>700</v>
      </c>
      <c r="K2" s="559"/>
      <c r="AF2" s="1647">
        <v>0</v>
      </c>
    </row>
    <row s="1658" customFormat="1" customHeight="1" ht="0.75" hidden="1">
      <c r="B3" s="2115"/>
      <c r="C3" s="1183"/>
      <c r="D3" s="564"/>
      <c r="E3" s="565"/>
      <c r="F3" s="566" t="s">
        <v>701</v>
      </c>
      <c r="G3" s="567"/>
      <c r="H3" s="567">
        <f>H4*H5+H7</f>
        <v>0</v>
      </c>
      <c r="I3" s="567">
        <f>I4*I5+I6</f>
        <v>0</v>
      </c>
      <c r="J3" s="568"/>
      <c r="AF3" s="1652">
        <v>0</v>
      </c>
    </row>
    <row customHeight="1" ht="23.25" hidden="1">
      <c r="B4" s="2115"/>
      <c r="C4" s="1183"/>
      <c r="D4" s="1654"/>
      <c r="E4" s="562" t="str">
        <f>B2&amp;".1"</f>
        <v>.1</v>
      </c>
      <c r="F4" s="569" t="s">
        <v>702</v>
      </c>
      <c r="G4" s="570"/>
      <c r="H4" s="557"/>
      <c r="I4" s="557"/>
      <c r="J4" s="305" t="s">
        <v>703</v>
      </c>
      <c r="K4" s="559"/>
      <c r="AF4" s="1647">
        <v>0</v>
      </c>
    </row>
    <row customHeight="1" ht="18.75" hidden="1">
      <c r="B5" s="2115"/>
      <c r="C5" s="1183"/>
      <c r="D5" s="1654"/>
      <c r="E5" s="562" t="str">
        <f>B2&amp;".2"</f>
        <v>.2</v>
      </c>
      <c r="F5" s="569" t="s">
        <v>704</v>
      </c>
      <c r="G5" s="1662" t="s">
        <v>705</v>
      </c>
      <c r="H5" s="557"/>
      <c r="I5" s="557"/>
      <c r="J5" s="305"/>
      <c r="K5" s="559"/>
      <c r="AF5" s="1647">
        <v>0</v>
      </c>
    </row>
    <row customHeight="1" ht="18.75" hidden="1">
      <c r="B6" s="2115"/>
      <c r="C6" s="1183"/>
      <c r="D6" s="1654"/>
      <c r="E6" s="562" t="str">
        <f>B2&amp;".3"</f>
        <v>.3</v>
      </c>
      <c r="F6" s="569" t="s">
        <v>706</v>
      </c>
      <c r="G6" s="1662" t="s">
        <v>705</v>
      </c>
      <c r="H6" s="557"/>
      <c r="I6" s="557"/>
      <c r="J6" s="305"/>
      <c r="K6" s="559"/>
      <c r="AF6" s="1647">
        <v>0</v>
      </c>
    </row>
    <row customHeight="1" ht="18.75" hidden="1">
      <c r="B7" s="2115"/>
      <c r="C7" s="1183"/>
      <c r="D7" s="1654"/>
      <c r="E7" s="562" t="str">
        <f>B2&amp;".4"</f>
        <v>.4</v>
      </c>
      <c r="F7" s="569" t="s">
        <v>707</v>
      </c>
      <c r="G7" s="1662" t="s">
        <v>699</v>
      </c>
      <c r="H7" s="571"/>
      <c r="I7" s="571"/>
      <c r="J7" s="305"/>
      <c r="K7" s="559"/>
      <c r="AF7" s="1647">
        <v>0</v>
      </c>
    </row>
    <row s="1382" customFormat="1" customHeight="1" ht="11.25" hidden="1">
      <c r="A8" s="1003"/>
      <c r="C8" s="1652"/>
      <c r="D8" s="553"/>
      <c r="H8" s="1176">
        <v>4</v>
      </c>
      <c r="I8" s="1176">
        <v>4</v>
      </c>
      <c r="L8" s="1652"/>
      <c r="M8" s="1652"/>
      <c r="R8" s="1652"/>
      <c r="AF8" s="1176">
        <v>0</v>
      </c>
    </row>
    <row s="1382" customFormat="1" customHeight="1" ht="22.5" hidden="1">
      <c r="A9" s="1003"/>
      <c r="C9" s="1652"/>
      <c r="D9" s="554"/>
      <c r="E9" s="1664"/>
      <c r="F9" s="556"/>
      <c r="G9" s="1662" t="s">
        <v>705</v>
      </c>
      <c r="H9" s="557"/>
      <c r="I9" s="557"/>
      <c r="J9" s="558" t="s">
        <v>708</v>
      </c>
      <c r="K9" s="559"/>
      <c r="L9" s="1652"/>
      <c r="M9" s="1652"/>
      <c r="R9" s="1652"/>
      <c r="U9" s="560"/>
      <c r="AA9" s="1648"/>
      <c r="AB9" s="1648"/>
      <c r="AC9" s="1648"/>
      <c r="AD9" s="1648"/>
      <c r="AE9" s="1648"/>
      <c r="AF9" s="1176">
        <v>0</v>
      </c>
    </row>
    <row customHeight="1" ht="11.25" hidden="1">
      <c r="AF10" s="1647">
        <v>0</v>
      </c>
    </row>
    <row customHeight="1" ht="18.75" hidden="1">
      <c r="D11" s="1654"/>
      <c r="E11" s="562"/>
      <c r="F11" s="556"/>
      <c r="G11" s="1662" t="s">
        <v>709</v>
      </c>
      <c r="H11" s="557"/>
      <c r="I11" s="557"/>
      <c r="J11" s="305" t="s">
        <v>710</v>
      </c>
      <c r="K11" s="559"/>
      <c r="AF11" s="1647">
        <v>0</v>
      </c>
    </row>
    <row customHeight="1" ht="11.25" hidden="1">
      <c r="AF12" s="1647">
        <v>0</v>
      </c>
    </row>
    <row customHeight="1" ht="22.5" hidden="1">
      <c r="D13" s="1654"/>
      <c r="E13" s="562"/>
      <c r="F13" s="556"/>
      <c r="G13" s="985" t="s">
        <v>711</v>
      </c>
      <c r="H13" s="561"/>
      <c r="I13" s="561"/>
      <c r="J13" s="761" t="s">
        <v>712</v>
      </c>
      <c r="K13" s="559"/>
      <c r="AF13" s="1647">
        <v>0</v>
      </c>
    </row>
    <row customHeight="1" ht="11.25" hidden="1">
      <c r="AF14" s="1647">
        <v>0</v>
      </c>
    </row>
    <row customHeight="1" ht="22.5" hidden="1">
      <c r="D15" s="1654"/>
      <c r="E15" s="562"/>
      <c r="F15" s="556"/>
      <c r="G15" s="1662" t="s">
        <v>713</v>
      </c>
      <c r="H15" s="561"/>
      <c r="I15" s="561"/>
      <c r="J15" s="305" t="s">
        <v>714</v>
      </c>
      <c r="K15" s="559"/>
      <c r="AF15" s="1647">
        <v>0</v>
      </c>
    </row>
    <row customHeight="1" ht="11.25" hidden="1">
      <c r="AF16" s="1647">
        <v>0</v>
      </c>
    </row>
    <row customHeight="1" ht="22.5" hidden="1">
      <c r="D17" s="1654"/>
      <c r="E17" s="562"/>
      <c r="F17" s="556"/>
      <c r="G17" s="1662" t="s">
        <v>715</v>
      </c>
      <c r="H17" s="561"/>
      <c r="I17" s="561"/>
      <c r="J17" s="305" t="s">
        <v>716</v>
      </c>
      <c r="K17" s="559"/>
      <c r="AF17" s="1647">
        <v>0</v>
      </c>
    </row>
    <row customHeight="1" ht="11.25" hidden="1">
      <c r="AF18" s="1647">
        <v>0</v>
      </c>
    </row>
    <row s="1648" customFormat="1" customHeight="1" ht="11.25" hidden="1">
      <c r="A19" s="1003"/>
      <c r="B19" s="1176"/>
      <c r="C19" s="1652"/>
      <c r="D19" s="378"/>
      <c r="J19" s="1648">
        <v>4</v>
      </c>
      <c r="K19" s="1176"/>
      <c r="L19" s="1652"/>
      <c r="M19" s="1652"/>
      <c r="N19" s="1176"/>
      <c r="O19" s="1176"/>
      <c r="P19" s="1176"/>
      <c r="Q19" s="1176"/>
      <c r="R19" s="1652"/>
      <c r="S19" s="1176"/>
      <c r="T19" s="1176"/>
      <c r="U19" s="560"/>
      <c r="V19" s="1176"/>
      <c r="W19" s="1176"/>
      <c r="X19" s="1176"/>
      <c r="Y19" s="1176"/>
      <c r="Z19" s="1176"/>
      <c r="AF19" s="1648">
        <v>0</v>
      </c>
    </row>
    <row customHeight="1" ht="11.549999999999999">
      <c r="AF20" s="1647">
        <v>11</v>
      </c>
    </row>
    <row customHeight="1" ht="25.2">
      <c r="E21" s="22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4"/>
      <c r="G21" s="2264"/>
      <c r="H21" s="2264"/>
      <c r="I21" s="2264"/>
      <c r="J21" s="572"/>
      <c r="AF21" s="1647">
        <v>24</v>
      </c>
    </row>
    <row customHeight="1" ht="25.2">
      <c r="E22" s="2265" t="str">
        <f>IF(org=0,"Не определено",org)</f>
        <v>КГУП "Примтеплоэнерго"</v>
      </c>
      <c r="F22" s="2265"/>
      <c r="G22" s="2265"/>
      <c r="H22" s="2265"/>
      <c r="I22" s="2265"/>
      <c r="AF22" s="1647">
        <v>24</v>
      </c>
    </row>
    <row customHeight="1" ht="11.549999999999999">
      <c r="E23" s="1151"/>
      <c r="F23" s="1151"/>
      <c r="G23" s="1151"/>
      <c r="H23" s="1151"/>
      <c r="I23" s="1151"/>
      <c r="AF23" s="1647">
        <v>11</v>
      </c>
    </row>
    <row s="1658" customFormat="1" customHeight="1" ht="1.05">
      <c r="A24" s="1183"/>
      <c r="D24" s="1658"/>
      <c r="H24" s="905"/>
      <c r="I24" s="905" t="s">
        <v>186</v>
      </c>
      <c r="AF24" s="1652">
        <v>1</v>
      </c>
    </row>
    <row customHeight="1" ht="11.549999999999999">
      <c r="E25" s="727"/>
      <c r="F25" s="2383" t="s">
        <v>178</v>
      </c>
      <c r="G25" s="2384"/>
      <c r="H25" s="1668" t="str">
        <f>IF(H24="","",INDEX(DIFFERENTIATION_UNMERGE_VD,MATCH(H24,DIFFERENTIATION_ID_DIFF,0)))</f>
        <v/>
      </c>
      <c r="I25" s="1668">
        <f>IF(I24="","",INDEX(DIFFERENTIATION_UNMERGE_VD,MATCH(I24,DIFFERENTIATION_ID_DIFF,0)))</f>
        <v>0</v>
      </c>
      <c r="J25" s="2143"/>
      <c r="AF25" s="1647">
        <v>11</v>
      </c>
    </row>
    <row customHeight="1" ht="11.549999999999999">
      <c r="E26" s="727"/>
      <c r="F26" s="2383" t="s">
        <v>717</v>
      </c>
      <c r="G26" s="2384"/>
      <c r="H26" s="1668" t="str">
        <f>IF(H24="","",INDEX(DIFFERENTIATION_UNMERGE_AREA,MATCH(H24,DIFFERENTIATION_ID_DIFF,0)))</f>
        <v/>
      </c>
      <c r="I26" s="1668" t="str">
        <f>IF(I24="","",INDEX(DIFFERENTIATION_UNMERGE_AREA,MATCH(I24,DIFFERENTIATION_ID_DIFF,0)))</f>
        <v/>
      </c>
      <c r="J26" s="2143"/>
      <c r="AF26" s="1647">
        <v>11</v>
      </c>
    </row>
    <row customHeight="1" ht="11.549999999999999">
      <c r="E27" s="727"/>
      <c r="F27" s="2383" t="s">
        <v>718</v>
      </c>
      <c r="G27" s="2384"/>
      <c r="H27" s="1668" t="str">
        <f>IF(H24="","",INDEX(DIFFERENTIATION_UNMERGE_SYSTEM,MATCH(H24,DIFFERENTIATION_ID_DIFF,0)))</f>
        <v/>
      </c>
      <c r="I27" s="1668" t="str">
        <f>IF(I24="","",INDEX(DIFFERENTIATION_UNMERGE_SYSTEM,MATCH(I24,DIFFERENTIATION_ID_DIFF,0)))</f>
        <v>без дифференциации</v>
      </c>
      <c r="J27" s="2143"/>
      <c r="AF27" s="1647">
        <v>11</v>
      </c>
    </row>
    <row customHeight="1" ht="11.549999999999999">
      <c r="E28" s="2385" t="s">
        <v>453</v>
      </c>
      <c r="F28" s="2386"/>
      <c r="G28" s="2386"/>
      <c r="H28" s="1661"/>
      <c r="I28" s="1661"/>
      <c r="J28" s="2143"/>
      <c r="AF28" s="1647">
        <v>11</v>
      </c>
    </row>
    <row customHeight="1" ht="24">
      <c r="E29" s="1662" t="s">
        <v>91</v>
      </c>
      <c r="F29" s="1669" t="s">
        <v>455</v>
      </c>
      <c r="G29" s="1669" t="s">
        <v>719</v>
      </c>
      <c r="H29" s="1669" t="s">
        <v>456</v>
      </c>
      <c r="I29" s="1669" t="s">
        <v>456</v>
      </c>
      <c r="J29" s="2143"/>
      <c r="AF29" s="1647">
        <v>23</v>
      </c>
    </row>
    <row customHeight="1" ht="19.95">
      <c r="D30" s="1654"/>
      <c r="E30" s="562">
        <f>FHD_NUM_P_1</f>
        <v>1</v>
      </c>
      <c r="F30" s="1896" t="str">
        <f>FHD_P_1</f>
        <v>Выручка от регулируемого вида деятельности с распределением по видам деятельности</v>
      </c>
      <c r="G30" s="1894" t="s">
        <v>705</v>
      </c>
      <c r="H30" s="573"/>
      <c r="I30" s="573"/>
      <c r="J30" s="305" t="str">
        <f>FHD_NOTE_P_1</f>
        <v>Указывается выручка от регулируемого вида деятельности с распределением по видам деятельности.</v>
      </c>
      <c r="K30" s="559"/>
      <c r="AF30" s="1647">
        <v>19</v>
      </c>
    </row>
    <row customHeight="1" ht="11.549999999999999">
      <c r="D31" s="1654"/>
      <c r="E31" s="562">
        <f>FHD_NUM_P_2</f>
        <v>2</v>
      </c>
      <c r="F31" s="1896" t="str">
        <f>FHD_P_2</f>
        <v>Себестоимость производимых товаров (оказываемых услуг) по регулируемому виду деятельности, включая:</v>
      </c>
      <c r="G31" s="1894" t="s">
        <v>705</v>
      </c>
      <c r="H31" s="574">
        <f>SUMIF($K33:$K71,$K31,H33:H71)</f>
        <v>0</v>
      </c>
      <c r="I31" s="574">
        <f>SUMIF($K33:$K71,$K31,I33:I71)</f>
        <v>0</v>
      </c>
      <c r="J31" s="305" t="str">
        <f>FHD_NOTE_P_2</f>
        <v>Указывается суммарная себестоимость производимых товаров.</v>
      </c>
      <c r="K31" s="1652" t="s">
        <v>720</v>
      </c>
      <c r="AF31" s="1647">
        <v>11</v>
      </c>
    </row>
    <row customHeight="1" ht="11.549999999999999">
      <c r="D32" s="1654"/>
      <c r="E32" s="562" t="str">
        <f>FHD_NUM_P_3</f>
        <v>2.1</v>
      </c>
      <c r="F32" s="1540" t="str">
        <f>FHD_P_3</f>
        <v>Расходы на приобретаемую тепловую энергию (мощность), теплоноситель</v>
      </c>
      <c r="G32" s="1894" t="s">
        <v>705</v>
      </c>
      <c r="H32" s="573"/>
      <c r="I32" s="573"/>
      <c r="J32" s="305" t="str">
        <f>FHD_NOTE_P_3</f>
        <v/>
      </c>
      <c r="K32" s="1652" t="str">
        <f>IF((LEN(E32)-LEN(SUBSTITUTE(E32,".","")))/LEN(".")=1,"p","")</f>
        <v>p</v>
      </c>
      <c r="AF32" s="1647">
        <v>11</v>
      </c>
    </row>
    <row customHeight="1" ht="11.25">
      <c r="A33" s="2387" t="s">
        <v>721</v>
      </c>
      <c r="D33" s="1654"/>
      <c r="E33" s="562" t="str">
        <f>FHD_NUM_P_4</f>
        <v>2.2</v>
      </c>
      <c r="F33" s="154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4" t="s">
        <v>705</v>
      </c>
      <c r="H33" s="574">
        <f>SUMIF($F34:$F40,$F3,H34:H40)</f>
        <v>0</v>
      </c>
      <c r="I33" s="574">
        <f>SUMIF($F34:$F40,$F3,I34:I40)</f>
        <v>0</v>
      </c>
      <c r="J33" s="305" t="str">
        <f>FHD_NOTE_P_4</f>
        <v>Указываются суммарные расходы на приобретение топлива всех видов.</v>
      </c>
      <c r="K33" s="1652" t="str">
        <f>IF((LEN(E33)-LEN(SUBSTITUTE(E33,".","")))/LEN(".")=1,"p","")</f>
        <v>p</v>
      </c>
      <c r="AF33" s="1647">
        <v>0</v>
      </c>
    </row>
    <row s="1657" customFormat="1" customHeight="1" ht="0.75">
      <c r="A34" s="2387"/>
      <c r="B34" s="2388" t="str">
        <f>E33&amp;".0"</f>
        <v>2.2.0</v>
      </c>
      <c r="C34" s="1183"/>
      <c r="D34" s="576"/>
      <c r="E34" s="577"/>
      <c r="F34" s="578"/>
      <c r="G34" s="579"/>
      <c r="H34" s="513"/>
      <c r="I34" s="513"/>
      <c r="J34" s="580"/>
      <c r="K34" s="1652" t="str">
        <f>IF((LEN(E34)-LEN(SUBSTITUTE(E34,".","")))/LEN(".")=1,"p","")</f>
        <v/>
      </c>
      <c r="L34" s="1652"/>
      <c r="M34" s="1652"/>
      <c r="N34" s="1652"/>
      <c r="O34" s="1652"/>
      <c r="P34" s="1652"/>
      <c r="Q34" s="1652"/>
      <c r="R34" s="1652"/>
      <c r="S34" s="1652"/>
      <c r="T34" s="1652"/>
      <c r="U34" s="581"/>
      <c r="V34" s="1652"/>
      <c r="W34" s="1652"/>
      <c r="X34" s="1652"/>
      <c r="Y34" s="1652"/>
      <c r="Z34" s="1652"/>
      <c r="AA34" s="582"/>
      <c r="AB34" s="582"/>
      <c r="AC34" s="582"/>
      <c r="AD34" s="582"/>
      <c r="AE34" s="582"/>
      <c r="AF34" s="1657">
        <v>0</v>
      </c>
    </row>
    <row s="1657" customFormat="1" customHeight="1" ht="0.75">
      <c r="A35" s="2387"/>
      <c r="B35" s="2388"/>
      <c r="C35" s="1183"/>
      <c r="D35" s="576"/>
      <c r="E35" s="583"/>
      <c r="F35" s="584"/>
      <c r="G35" s="579"/>
      <c r="H35" s="585"/>
      <c r="I35" s="585"/>
      <c r="J35" s="580"/>
      <c r="K35" s="1652" t="str">
        <f>IF((LEN(E35)-LEN(SUBSTITUTE(E35,".","")))/LEN(".")=1,"p","")</f>
        <v/>
      </c>
      <c r="L35" s="1652"/>
      <c r="M35" s="1652"/>
      <c r="N35" s="1652"/>
      <c r="O35" s="1652"/>
      <c r="P35" s="1652"/>
      <c r="Q35" s="1652"/>
      <c r="R35" s="1652"/>
      <c r="S35" s="1652"/>
      <c r="T35" s="1652"/>
      <c r="U35" s="581"/>
      <c r="V35" s="1652"/>
      <c r="W35" s="1652"/>
      <c r="X35" s="1652"/>
      <c r="Y35" s="1652"/>
      <c r="Z35" s="1652"/>
      <c r="AA35" s="582"/>
      <c r="AB35" s="582"/>
      <c r="AC35" s="582"/>
      <c r="AD35" s="582"/>
      <c r="AE35" s="582"/>
      <c r="AF35" s="1657">
        <v>0</v>
      </c>
    </row>
    <row s="1657" customFormat="1" customHeight="1" ht="0.75">
      <c r="A36" s="2387"/>
      <c r="B36" s="2388"/>
      <c r="C36" s="1183"/>
      <c r="D36" s="576"/>
      <c r="E36" s="583"/>
      <c r="F36" s="584"/>
      <c r="G36" s="579"/>
      <c r="H36" s="585"/>
      <c r="I36" s="585"/>
      <c r="J36" s="580"/>
      <c r="K36" s="1652" t="str">
        <f>IF((LEN(E36)-LEN(SUBSTITUTE(E36,".","")))/LEN(".")=1,"p","")</f>
        <v/>
      </c>
      <c r="L36" s="1652"/>
      <c r="M36" s="1652"/>
      <c r="N36" s="1652"/>
      <c r="O36" s="1652"/>
      <c r="P36" s="1652"/>
      <c r="Q36" s="1652"/>
      <c r="R36" s="1652"/>
      <c r="S36" s="1652"/>
      <c r="T36" s="1652"/>
      <c r="U36" s="581"/>
      <c r="V36" s="1652"/>
      <c r="W36" s="1652"/>
      <c r="X36" s="1652"/>
      <c r="Y36" s="1652"/>
      <c r="Z36" s="1652"/>
      <c r="AA36" s="582"/>
      <c r="AB36" s="582"/>
      <c r="AC36" s="582"/>
      <c r="AD36" s="582"/>
      <c r="AE36" s="582"/>
      <c r="AF36" s="1657">
        <v>0</v>
      </c>
    </row>
    <row s="1657" customFormat="1" customHeight="1" ht="0.75">
      <c r="A37" s="2387"/>
      <c r="B37" s="2388"/>
      <c r="C37" s="1183"/>
      <c r="D37" s="576"/>
      <c r="E37" s="583"/>
      <c r="F37" s="584"/>
      <c r="G37" s="579"/>
      <c r="H37" s="585"/>
      <c r="I37" s="585"/>
      <c r="J37" s="580"/>
      <c r="K37" s="1652" t="str">
        <f>IF((LEN(E37)-LEN(SUBSTITUTE(E37,".","")))/LEN(".")=1,"p","")</f>
        <v/>
      </c>
      <c r="L37" s="1652"/>
      <c r="M37" s="1652"/>
      <c r="N37" s="1652"/>
      <c r="O37" s="1652"/>
      <c r="P37" s="1652"/>
      <c r="Q37" s="1652"/>
      <c r="R37" s="1652"/>
      <c r="S37" s="1652"/>
      <c r="T37" s="1652"/>
      <c r="U37" s="581"/>
      <c r="V37" s="1652"/>
      <c r="W37" s="1652"/>
      <c r="X37" s="1652"/>
      <c r="Y37" s="1652"/>
      <c r="Z37" s="1652"/>
      <c r="AA37" s="582"/>
      <c r="AB37" s="582"/>
      <c r="AC37" s="582"/>
      <c r="AD37" s="582"/>
      <c r="AE37" s="582"/>
      <c r="AF37" s="1657">
        <v>0</v>
      </c>
    </row>
    <row s="1657" customFormat="1" customHeight="1" ht="0.75">
      <c r="A38" s="2387"/>
      <c r="B38" s="2388"/>
      <c r="C38" s="1183"/>
      <c r="D38" s="576"/>
      <c r="E38" s="583"/>
      <c r="F38" s="584"/>
      <c r="G38" s="579"/>
      <c r="H38" s="585"/>
      <c r="I38" s="585"/>
      <c r="J38" s="580"/>
      <c r="K38" s="1652" t="str">
        <f>IF((LEN(E38)-LEN(SUBSTITUTE(E38,".","")))/LEN(".")=1,"p","")</f>
        <v/>
      </c>
      <c r="L38" s="1652"/>
      <c r="M38" s="1652"/>
      <c r="N38" s="1652"/>
      <c r="O38" s="1652"/>
      <c r="P38" s="1652"/>
      <c r="Q38" s="1652"/>
      <c r="R38" s="1652"/>
      <c r="S38" s="1652"/>
      <c r="T38" s="1652"/>
      <c r="U38" s="581"/>
      <c r="V38" s="1652"/>
      <c r="W38" s="1652"/>
      <c r="X38" s="1652"/>
      <c r="Y38" s="1652"/>
      <c r="Z38" s="1652"/>
      <c r="AA38" s="582"/>
      <c r="AB38" s="582"/>
      <c r="AC38" s="582"/>
      <c r="AD38" s="582"/>
      <c r="AE38" s="582"/>
      <c r="AF38" s="1657">
        <v>0</v>
      </c>
    </row>
    <row s="1657" customFormat="1" customHeight="1" ht="0.75">
      <c r="A39" s="2387"/>
      <c r="B39" s="2388"/>
      <c r="C39" s="1183"/>
      <c r="D39" s="576"/>
      <c r="E39" s="583"/>
      <c r="F39" s="584"/>
      <c r="G39" s="579"/>
      <c r="H39" s="513"/>
      <c r="I39" s="513"/>
      <c r="J39" s="580"/>
      <c r="K39" s="1652" t="str">
        <f>IF((LEN(E39)-LEN(SUBSTITUTE(E39,".","")))/LEN(".")=1,"p","")</f>
        <v/>
      </c>
      <c r="L39" s="1652"/>
      <c r="M39" s="1652"/>
      <c r="N39" s="1652"/>
      <c r="O39" s="1652"/>
      <c r="P39" s="1652"/>
      <c r="Q39" s="1652"/>
      <c r="R39" s="1652"/>
      <c r="S39" s="1652"/>
      <c r="T39" s="1652"/>
      <c r="U39" s="581"/>
      <c r="V39" s="1652"/>
      <c r="W39" s="1652"/>
      <c r="X39" s="1652"/>
      <c r="Y39" s="1652"/>
      <c r="Z39" s="1652"/>
      <c r="AA39" s="582"/>
      <c r="AB39" s="582"/>
      <c r="AC39" s="582"/>
      <c r="AD39" s="582"/>
      <c r="AE39" s="582"/>
      <c r="AF39" s="1657">
        <v>0</v>
      </c>
    </row>
    <row s="1382" customFormat="1" customHeight="1" ht="15">
      <c r="A40" s="2387"/>
      <c r="C40" s="1652"/>
      <c r="D40" s="1649"/>
      <c r="E40" s="586"/>
      <c r="F40" s="587" t="s">
        <v>722</v>
      </c>
      <c r="G40" s="588"/>
      <c r="H40" s="589"/>
      <c r="I40" s="589"/>
      <c r="J40" s="317"/>
      <c r="K40" s="1652" t="str">
        <f>IF((LEN(E40)-LEN(SUBSTITUTE(E40,".","")))/LEN(".")=1,"p","")</f>
        <v/>
      </c>
      <c r="L40" s="1652"/>
      <c r="M40" s="1652"/>
      <c r="R40" s="1652"/>
      <c r="U40" s="560"/>
      <c r="AA40" s="1648"/>
      <c r="AB40" s="1648"/>
      <c r="AC40" s="1648"/>
      <c r="AD40" s="1648"/>
      <c r="AE40" s="1648"/>
      <c r="AF40" s="1176">
        <v>0</v>
      </c>
    </row>
    <row customHeight="1" ht="11.25" hidden="1">
      <c r="A41" s="2387" t="s">
        <v>723</v>
      </c>
      <c r="D41" s="1654"/>
      <c r="E41" s="562" t="str">
        <f>FHD_NUM_P_5</f>
        <v/>
      </c>
      <c r="F41" s="1540" t="str">
        <f>FHD_P_5</f>
        <v/>
      </c>
      <c r="G41" s="1894" t="s">
        <v>705</v>
      </c>
      <c r="H41" s="573"/>
      <c r="I41" s="573"/>
      <c r="J41" s="305" t="str">
        <f>FHD_NOTE_P_5</f>
        <v/>
      </c>
      <c r="K41" s="1652" t="str">
        <f>IF((LEN(E41)-LEN(SUBSTITUTE(E41,".","")))/LEN(".")=1,"p","")</f>
        <v/>
      </c>
      <c r="AF41" s="1647">
        <v>0</v>
      </c>
    </row>
    <row customHeight="1" ht="11.25" hidden="1">
      <c r="A42" s="2387"/>
      <c r="D42" s="1654"/>
      <c r="E42" s="562" t="str">
        <f>FHD_NUM_P_6</f>
        <v/>
      </c>
      <c r="F42" s="1540" t="str">
        <f>FHD_P_6</f>
        <v/>
      </c>
      <c r="G42" s="1894" t="s">
        <v>705</v>
      </c>
      <c r="H42" s="573"/>
      <c r="I42" s="573"/>
      <c r="J42" s="305" t="str">
        <f>FHD_NOTE_P_6</f>
        <v/>
      </c>
      <c r="K42" s="1652" t="str">
        <f>IF((LEN(E42)-LEN(SUBSTITUTE(E42,".","")))/LEN(".")=1,"p","")</f>
        <v/>
      </c>
      <c r="AF42" s="1647">
        <v>0</v>
      </c>
    </row>
    <row customHeight="1" ht="11.25" hidden="1">
      <c r="A43" s="2387"/>
      <c r="D43" s="1654"/>
      <c r="E43" s="562" t="str">
        <f>FHD_NUM_P_7</f>
        <v/>
      </c>
      <c r="F43" s="1540" t="str">
        <f>FHD_P_7</f>
        <v/>
      </c>
      <c r="G43" s="1894" t="s">
        <v>705</v>
      </c>
      <c r="H43" s="573"/>
      <c r="I43" s="573"/>
      <c r="J43" s="305" t="str">
        <f>FHD_NOTE_P_7</f>
        <v/>
      </c>
      <c r="K43" s="1652" t="str">
        <f>IF((LEN(E43)-LEN(SUBSTITUTE(E43,".","")))/LEN(".")=1,"p","")</f>
        <v/>
      </c>
      <c r="AF43" s="1647">
        <v>0</v>
      </c>
    </row>
    <row customHeight="1" ht="11.549999999999999">
      <c r="D44" s="1654"/>
      <c r="E44" s="562" t="str">
        <f>FHD_NUM_P_8</f>
        <v>2.3</v>
      </c>
      <c r="F44" s="1540" t="str">
        <f>FHD_P_8</f>
        <v>Расходы на приобретаемую электрическую энергию (мощность), используемую в технологическом процессе</v>
      </c>
      <c r="G44" s="1894" t="s">
        <v>705</v>
      </c>
      <c r="H44" s="573"/>
      <c r="I44" s="573"/>
      <c r="J44" s="305" t="str">
        <f>FHD_NOTE_P_8</f>
        <v/>
      </c>
      <c r="K44" s="1652" t="str">
        <f>IF((LEN(E44)-LEN(SUBSTITUTE(E44,".","")))/LEN(".")=1,"p","")</f>
        <v>p</v>
      </c>
      <c r="AF44" s="1647">
        <v>11</v>
      </c>
    </row>
    <row customHeight="1" ht="11.549999999999999">
      <c r="D45" s="1654"/>
      <c r="E45" s="562" t="str">
        <f>FHD_NUM_P_9</f>
        <v>2.3.1</v>
      </c>
      <c r="F45" s="1666" t="str">
        <f>FHD_P_9</f>
        <v>Средневзвешенная стоимость 1 кВт.ч (с учетом мощности)</v>
      </c>
      <c r="G45" s="1894" t="s">
        <v>724</v>
      </c>
      <c r="H45" s="573"/>
      <c r="I45" s="573"/>
      <c r="J45" s="305" t="str">
        <f>FHD_NOTE_P_9</f>
        <v/>
      </c>
      <c r="K45" s="1652" t="str">
        <f>IF((LEN(E45)-LEN(SUBSTITUTE(E45,".","")))/LEN(".")=1,"p","")</f>
        <v/>
      </c>
      <c r="AF45" s="1647">
        <v>11</v>
      </c>
    </row>
    <row s="1382" customFormat="1" customHeight="1" ht="11.549999999999999">
      <c r="A46" s="1003"/>
      <c r="C46" s="1652"/>
      <c r="D46" s="590"/>
      <c r="E46" s="562" t="str">
        <f>FHD_NUM_P_10</f>
        <v>2.3.2</v>
      </c>
      <c r="F46" s="1666" t="str">
        <f>FHD_P_10</f>
        <v>Объём приобретения электрической энергии</v>
      </c>
      <c r="G46" s="1894" t="s">
        <v>725</v>
      </c>
      <c r="H46" s="573"/>
      <c r="I46" s="573"/>
      <c r="J46" s="305" t="str">
        <f>FHD_NOTE_P_10</f>
        <v/>
      </c>
      <c r="K46" s="1652" t="str">
        <f>IF((LEN(E46)-LEN(SUBSTITUTE(E46,".","")))/LEN(".")=1,"p","")</f>
        <v/>
      </c>
      <c r="L46" s="1652"/>
      <c r="M46" s="1652"/>
      <c r="R46" s="1652"/>
      <c r="U46" s="560"/>
      <c r="AA46" s="1648"/>
      <c r="AB46" s="1648"/>
      <c r="AC46" s="1648"/>
      <c r="AD46" s="1648"/>
      <c r="AE46" s="1648"/>
      <c r="AF46" s="1176">
        <v>11</v>
      </c>
    </row>
    <row s="1382" customFormat="1" customHeight="1" ht="11.25">
      <c r="A47" s="1005" t="s">
        <v>726</v>
      </c>
      <c r="C47" s="1652"/>
      <c r="D47" s="591"/>
      <c r="E47" s="562" t="str">
        <f>FHD_NUM_P_11</f>
        <v>2.4</v>
      </c>
      <c r="F47" s="1540" t="str">
        <f>FHD_P_11</f>
        <v>Расходы на приобретение холодной воды, используемой в технологическом процессе</v>
      </c>
      <c r="G47" s="1894" t="s">
        <v>705</v>
      </c>
      <c r="H47" s="573"/>
      <c r="I47" s="573"/>
      <c r="J47" s="305" t="str">
        <f>FHD_NOTE_P_11</f>
        <v/>
      </c>
      <c r="K47" s="1652" t="str">
        <f>IF((LEN(E47)-LEN(SUBSTITUTE(E47,".","")))/LEN(".")=1,"p","")</f>
        <v>p</v>
      </c>
      <c r="L47" s="1652"/>
      <c r="M47" s="1652"/>
      <c r="R47" s="1652"/>
      <c r="U47" s="560"/>
      <c r="AA47" s="1648"/>
      <c r="AB47" s="1648"/>
      <c r="AC47" s="1648"/>
      <c r="AD47" s="1648"/>
      <c r="AE47" s="1648"/>
      <c r="AF47" s="1176">
        <v>0</v>
      </c>
    </row>
    <row s="1382" customFormat="1" customHeight="1" ht="18.75">
      <c r="A48" s="1005" t="s">
        <v>727</v>
      </c>
      <c r="C48" s="1652"/>
      <c r="D48" s="1654"/>
      <c r="E48" s="562" t="str">
        <f>FHD_NUM_P_12</f>
        <v>2.5</v>
      </c>
      <c r="F48" s="1540" t="str">
        <f>FHD_P_12</f>
        <v>Расходы на  химические реагенты, используемые в технологическом процессе</v>
      </c>
      <c r="G48" s="1894" t="s">
        <v>705</v>
      </c>
      <c r="H48" s="593"/>
      <c r="I48" s="593"/>
      <c r="J48" s="305" t="str">
        <f>FHD_NOTE_P_12</f>
        <v/>
      </c>
      <c r="K48" s="1652" t="str">
        <f>IF((LEN(E48)-LEN(SUBSTITUTE(E48,".","")))/LEN(".")=1,"p","")</f>
        <v>p</v>
      </c>
      <c r="L48" s="1652"/>
      <c r="M48" s="1652"/>
      <c r="R48" s="1652"/>
      <c r="U48" s="560"/>
      <c r="AA48" s="1648"/>
      <c r="AB48" s="1648"/>
      <c r="AC48" s="1648"/>
      <c r="AD48" s="1648"/>
      <c r="AE48" s="1648"/>
      <c r="AF48" s="1176">
        <v>18</v>
      </c>
    </row>
    <row s="1381" customFormat="1" customHeight="1" ht="11.549999999999999">
      <c r="A49" s="1004"/>
      <c r="C49" s="746"/>
      <c r="D49" s="689"/>
      <c r="E49" s="562" t="str">
        <f>FHD_NUM_P_13</f>
        <v>2.6</v>
      </c>
      <c r="F49" s="154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4" t="s">
        <v>705</v>
      </c>
      <c r="H49" s="573"/>
      <c r="I49" s="573"/>
      <c r="J49" s="305" t="str">
        <f>FHD_NOTE_P_13</f>
        <v/>
      </c>
      <c r="K49" s="1652" t="str">
        <f>IF((LEN(E49)-LEN(SUBSTITUTE(E49,".","")))/LEN(".")=1,"p","")</f>
        <v>p</v>
      </c>
      <c r="L49" s="746"/>
      <c r="M49" s="746"/>
      <c r="R49" s="746"/>
      <c r="U49" s="747"/>
      <c r="AA49" s="748"/>
      <c r="AB49" s="748"/>
      <c r="AC49" s="748"/>
      <c r="AD49" s="748"/>
      <c r="AE49" s="748"/>
      <c r="AF49" s="745">
        <v>11</v>
      </c>
    </row>
    <row s="1381" customFormat="1" customHeight="1" ht="11.549999999999999">
      <c r="A50" s="1004"/>
      <c r="C50" s="746"/>
      <c r="D50" s="689"/>
      <c r="E50" s="562" t="str">
        <f>FHD_NUM_P_14</f>
        <v>2.6.1</v>
      </c>
      <c r="F50" s="1666" t="str">
        <f>FHD_P_14</f>
        <v>Расходы на оплату труда основного производственного персонала</v>
      </c>
      <c r="G50" s="1894" t="s">
        <v>705</v>
      </c>
      <c r="H50" s="573"/>
      <c r="I50" s="573"/>
      <c r="J50" s="305" t="str">
        <f>FHD_NOTE_P_14</f>
        <v/>
      </c>
      <c r="K50" s="1652" t="str">
        <f>IF((LEN(E50)-LEN(SUBSTITUTE(E50,".","")))/LEN(".")=1,"p","")</f>
        <v/>
      </c>
      <c r="L50" s="746"/>
      <c r="M50" s="746"/>
      <c r="R50" s="746"/>
      <c r="U50" s="747"/>
      <c r="AA50" s="748"/>
      <c r="AB50" s="748"/>
      <c r="AC50" s="748"/>
      <c r="AD50" s="748"/>
      <c r="AE50" s="748"/>
      <c r="AF50" s="745">
        <v>11</v>
      </c>
    </row>
    <row s="1381" customFormat="1" customHeight="1" ht="11.549999999999999">
      <c r="A51" s="1004"/>
      <c r="C51" s="746"/>
      <c r="D51" s="689"/>
      <c r="E51" s="562" t="str">
        <f>FHD_NUM_P_15</f>
        <v>2.6.2</v>
      </c>
      <c r="F51" s="1666" t="str">
        <f>FHD_P_15</f>
        <v>Страховые взносы на обязательное социальное страхование, выплачиваемые из фонда оплаты труда основного производственного персонала</v>
      </c>
      <c r="G51" s="1894" t="s">
        <v>705</v>
      </c>
      <c r="H51" s="573"/>
      <c r="I51" s="573"/>
      <c r="J51" s="305" t="str">
        <f>FHD_NOTE_P_15</f>
        <v/>
      </c>
      <c r="K51" s="1652" t="str">
        <f>IF((LEN(E51)-LEN(SUBSTITUTE(E51,".","")))/LEN(".")=1,"p","")</f>
        <v/>
      </c>
      <c r="L51" s="746"/>
      <c r="M51" s="746"/>
      <c r="R51" s="746"/>
      <c r="U51" s="747"/>
      <c r="AA51" s="748"/>
      <c r="AB51" s="748"/>
      <c r="AC51" s="748"/>
      <c r="AD51" s="748"/>
      <c r="AE51" s="748"/>
      <c r="AF51" s="745">
        <v>11</v>
      </c>
    </row>
    <row s="1382" customFormat="1" customHeight="1" ht="11.549999999999999">
      <c r="A52" s="1003"/>
      <c r="C52" s="1652"/>
      <c r="D52" s="1654"/>
      <c r="E52" s="562" t="str">
        <f>FHD_NUM_P_16</f>
        <v>2.7</v>
      </c>
      <c r="F52" s="154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4" t="s">
        <v>705</v>
      </c>
      <c r="H52" s="573"/>
      <c r="I52" s="573"/>
      <c r="J52" s="305" t="str">
        <f>FHD_NOTE_P_16</f>
        <v/>
      </c>
      <c r="K52" s="1652" t="str">
        <f>IF((LEN(E52)-LEN(SUBSTITUTE(E52,".","")))/LEN(".")=1,"p","")</f>
        <v>p</v>
      </c>
      <c r="L52" s="1652"/>
      <c r="M52" s="1658"/>
      <c r="N52" s="553"/>
      <c r="O52" s="553"/>
      <c r="R52" s="1652"/>
      <c r="U52" s="560"/>
      <c r="AA52" s="1648"/>
      <c r="AB52" s="1648"/>
      <c r="AC52" s="1648"/>
      <c r="AD52" s="1648"/>
      <c r="AE52" s="1648"/>
      <c r="AF52" s="1176">
        <v>11</v>
      </c>
    </row>
    <row s="1382" customFormat="1" customHeight="1" ht="11.549999999999999">
      <c r="A53" s="1003"/>
      <c r="C53" s="1652"/>
      <c r="D53" s="1654"/>
      <c r="E53" s="562" t="str">
        <f>FHD_NUM_P_17</f>
        <v>2.7.1</v>
      </c>
      <c r="F53" s="1666" t="str">
        <f>FHD_P_17</f>
        <v>Расходы на оплату труда административно-управленческого персонала</v>
      </c>
      <c r="G53" s="1894" t="s">
        <v>705</v>
      </c>
      <c r="H53" s="573"/>
      <c r="I53" s="573"/>
      <c r="J53" s="305" t="str">
        <f>FHD_NOTE_P_17</f>
        <v/>
      </c>
      <c r="K53" s="1652" t="str">
        <f>IF((LEN(E53)-LEN(SUBSTITUTE(E53,".","")))/LEN(".")=1,"p","")</f>
        <v/>
      </c>
      <c r="L53" s="1652"/>
      <c r="M53" s="1658"/>
      <c r="N53" s="553"/>
      <c r="O53" s="553"/>
      <c r="R53" s="1652"/>
      <c r="U53" s="560"/>
      <c r="AA53" s="1648"/>
      <c r="AB53" s="1648"/>
      <c r="AC53" s="1648"/>
      <c r="AD53" s="1648"/>
      <c r="AE53" s="1648"/>
      <c r="AF53" s="1176">
        <v>11</v>
      </c>
    </row>
    <row s="1382" customFormat="1" customHeight="1" ht="11.549999999999999">
      <c r="A54" s="1003"/>
      <c r="C54" s="1652"/>
      <c r="D54" s="1654"/>
      <c r="E54" s="562" t="str">
        <f>FHD_NUM_P_18</f>
        <v>2.7.2</v>
      </c>
      <c r="F54" s="166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4" t="s">
        <v>705</v>
      </c>
      <c r="H54" s="573"/>
      <c r="I54" s="573"/>
      <c r="J54" s="305" t="str">
        <f>FHD_NOTE_P_18</f>
        <v/>
      </c>
      <c r="K54" s="1652" t="str">
        <f>IF((LEN(E54)-LEN(SUBSTITUTE(E54,".","")))/LEN(".")=1,"p","")</f>
        <v/>
      </c>
      <c r="L54" s="1652"/>
      <c r="M54" s="1658"/>
      <c r="N54" s="553"/>
      <c r="O54" s="553"/>
      <c r="R54" s="1652"/>
      <c r="U54" s="560"/>
      <c r="AA54" s="1648"/>
      <c r="AB54" s="1648"/>
      <c r="AC54" s="1648"/>
      <c r="AD54" s="1648"/>
      <c r="AE54" s="1648"/>
      <c r="AF54" s="1176">
        <v>11</v>
      </c>
    </row>
    <row s="1382" customFormat="1" customHeight="1" ht="11.549999999999999">
      <c r="A55" s="1003"/>
      <c r="C55" s="1652"/>
      <c r="D55" s="591"/>
      <c r="E55" s="562" t="str">
        <f>FHD_NUM_P_19</f>
        <v>2.8</v>
      </c>
      <c r="F55" s="1540" t="str">
        <f>FHD_P_19</f>
        <v>Расходы на амортизацию основных средств и нематериальных активов</v>
      </c>
      <c r="G55" s="1894" t="s">
        <v>705</v>
      </c>
      <c r="H55" s="573"/>
      <c r="I55" s="573"/>
      <c r="J55" s="305" t="str">
        <f>FHD_NOTE_P_19</f>
        <v/>
      </c>
      <c r="K55" s="1652" t="str">
        <f>IF((LEN(E55)-LEN(SUBSTITUTE(E55,".","")))/LEN(".")=1,"p","")</f>
        <v>p</v>
      </c>
      <c r="L55" s="1652"/>
      <c r="M55" s="1652"/>
      <c r="R55" s="1652"/>
      <c r="U55" s="560"/>
      <c r="AA55" s="1648"/>
      <c r="AB55" s="1648"/>
      <c r="AC55" s="1648"/>
      <c r="AD55" s="1648"/>
      <c r="AE55" s="1648"/>
      <c r="AF55" s="1176">
        <v>11</v>
      </c>
    </row>
    <row s="1382" customFormat="1" customHeight="1" ht="11.549999999999999">
      <c r="A56" s="1003"/>
      <c r="C56" s="1652"/>
      <c r="D56" s="591"/>
      <c r="E56" s="562" t="str">
        <f>FHD_NUM_P_20</f>
        <v>2.8.1</v>
      </c>
      <c r="F56" s="1666" t="str">
        <f>FHD_P_20</f>
        <v>Расходы на амортизацию основных средств</v>
      </c>
      <c r="G56" s="1894" t="s">
        <v>705</v>
      </c>
      <c r="H56" s="573"/>
      <c r="I56" s="573"/>
      <c r="J56" s="305" t="str">
        <f>FHD_NOTE_P_20</f>
        <v/>
      </c>
      <c r="K56" s="1652" t="str">
        <f>IF((LEN(E56)-LEN(SUBSTITUTE(E56,".","")))/LEN(".")=1,"p","")</f>
        <v/>
      </c>
      <c r="L56" s="1652"/>
      <c r="M56" s="1652"/>
      <c r="R56" s="1652"/>
      <c r="U56" s="560"/>
      <c r="AA56" s="1648"/>
      <c r="AB56" s="1648"/>
      <c r="AC56" s="1648"/>
      <c r="AD56" s="1648"/>
      <c r="AE56" s="1648"/>
      <c r="AF56" s="1176">
        <v>11</v>
      </c>
    </row>
    <row s="1382" customFormat="1" customHeight="1" ht="11.549999999999999">
      <c r="A57" s="1003"/>
      <c r="C57" s="1652"/>
      <c r="D57" s="591"/>
      <c r="E57" s="562" t="str">
        <f>FHD_NUM_P_21</f>
        <v>2.8.2</v>
      </c>
      <c r="F57" s="1666" t="str">
        <f>FHD_P_21</f>
        <v>Расходы на амортизацию нематериальных активов</v>
      </c>
      <c r="G57" s="1894" t="s">
        <v>705</v>
      </c>
      <c r="H57" s="573"/>
      <c r="I57" s="573"/>
      <c r="J57" s="305" t="str">
        <f>FHD_NOTE_P_21</f>
        <v/>
      </c>
      <c r="K57" s="1652" t="str">
        <f>IF((LEN(E57)-LEN(SUBSTITUTE(E57,".","")))/LEN(".")=1,"p","")</f>
        <v/>
      </c>
      <c r="L57" s="1652"/>
      <c r="M57" s="1652"/>
      <c r="R57" s="1652"/>
      <c r="U57" s="560"/>
      <c r="AA57" s="1648"/>
      <c r="AB57" s="1648"/>
      <c r="AC57" s="1648"/>
      <c r="AD57" s="1648"/>
      <c r="AE57" s="1648"/>
      <c r="AF57" s="1176">
        <v>11</v>
      </c>
    </row>
    <row s="1382" customFormat="1" customHeight="1" ht="11.549999999999999">
      <c r="A58" s="1003"/>
      <c r="C58" s="1652"/>
      <c r="D58" s="1654"/>
      <c r="E58" s="562" t="str">
        <f>FHD_NUM_P_22</f>
        <v>2.9</v>
      </c>
      <c r="F58" s="1540" t="str">
        <f>FHD_P_22</f>
        <v>Расходы на аренду имущества, используемого для осуществления регулируемого вида деятельности</v>
      </c>
      <c r="G58" s="1894" t="s">
        <v>705</v>
      </c>
      <c r="H58" s="573"/>
      <c r="I58" s="573"/>
      <c r="J58" s="305" t="str">
        <f>FHD_NOTE_P_22</f>
        <v/>
      </c>
      <c r="K58" s="1652" t="str">
        <f>IF((LEN(E58)-LEN(SUBSTITUTE(E58,".","")))/LEN(".")=1,"p","")</f>
        <v>p</v>
      </c>
      <c r="L58" s="1652"/>
      <c r="M58" s="1652"/>
      <c r="R58" s="1652"/>
      <c r="U58" s="560"/>
      <c r="AA58" s="1648"/>
      <c r="AB58" s="1648"/>
      <c r="AC58" s="1648"/>
      <c r="AD58" s="1648"/>
      <c r="AE58" s="1648"/>
      <c r="AF58" s="1176">
        <v>11</v>
      </c>
    </row>
    <row s="1382" customFormat="1" customHeight="1" ht="11.549999999999999">
      <c r="A59" s="1003"/>
      <c r="C59" s="1652"/>
      <c r="D59" s="591"/>
      <c r="E59" s="562" t="str">
        <f>FHD_NUM_P_23</f>
        <v>2.10</v>
      </c>
      <c r="F59" s="1540" t="str">
        <f>FHD_P_23</f>
        <v>Общепроизводственные расходы, в том числе:</v>
      </c>
      <c r="G59" s="1894" t="s">
        <v>705</v>
      </c>
      <c r="H59" s="573"/>
      <c r="I59" s="573"/>
      <c r="J59" s="305" t="str">
        <f>FHD_NOTE_P_23</f>
        <v>Указывается общая сумма общепроизводственных расходов.</v>
      </c>
      <c r="K59" s="1652" t="str">
        <f>IF((LEN(E59)-LEN(SUBSTITUTE(E59,".","")))/LEN(".")=1,"p","")</f>
        <v>p</v>
      </c>
      <c r="L59" s="1652"/>
      <c r="M59" s="1652"/>
      <c r="R59" s="1652"/>
      <c r="U59" s="560"/>
      <c r="AA59" s="1648"/>
      <c r="AB59" s="1648"/>
      <c r="AC59" s="1648"/>
      <c r="AD59" s="1648"/>
      <c r="AE59" s="1648"/>
      <c r="AF59" s="1176">
        <v>11</v>
      </c>
    </row>
    <row s="1382" customFormat="1" customHeight="1" ht="11.549999999999999">
      <c r="A60" s="1003"/>
      <c r="C60" s="1652"/>
      <c r="D60" s="591"/>
      <c r="E60" s="562" t="str">
        <f>FHD_NUM_P_24</f>
        <v>2.10.1</v>
      </c>
      <c r="F60" s="1666" t="str">
        <f>FHD_P_24</f>
        <v>Расходы на текущий ремонт</v>
      </c>
      <c r="G60" s="1894" t="s">
        <v>705</v>
      </c>
      <c r="H60" s="573"/>
      <c r="I60" s="573"/>
      <c r="J60" s="305" t="str">
        <f>FHD_NOTE_P_24</f>
        <v>Указываются расходы на текущий ремонт, отнесенные к общепроизводственным расходам.</v>
      </c>
      <c r="K60" s="1652" t="str">
        <f>IF((LEN(E60)-LEN(SUBSTITUTE(E60,".","")))/LEN(".")=1,"p","")</f>
        <v/>
      </c>
      <c r="L60" s="1652"/>
      <c r="M60" s="1652"/>
      <c r="R60" s="1652"/>
      <c r="U60" s="560"/>
      <c r="AA60" s="1648"/>
      <c r="AB60" s="1648"/>
      <c r="AC60" s="1648"/>
      <c r="AD60" s="1648"/>
      <c r="AE60" s="1648"/>
      <c r="AF60" s="1176">
        <v>11</v>
      </c>
    </row>
    <row s="1382" customFormat="1" customHeight="1" ht="11.549999999999999">
      <c r="A61" s="1003"/>
      <c r="C61" s="1652"/>
      <c r="D61" s="591"/>
      <c r="E61" s="562" t="str">
        <f>FHD_NUM_P_25</f>
        <v>2.10.2</v>
      </c>
      <c r="F61" s="1666" t="str">
        <f>FHD_P_25</f>
        <v>Расходы на капитальный ремонт</v>
      </c>
      <c r="G61" s="1894" t="s">
        <v>705</v>
      </c>
      <c r="H61" s="573"/>
      <c r="I61" s="573"/>
      <c r="J61" s="305" t="str">
        <f>FHD_NOTE_P_25</f>
        <v>Указываются расходы на капитальный ремонт, отнесенные к общепроизводственным расходам.</v>
      </c>
      <c r="K61" s="1652" t="str">
        <f>IF((LEN(E61)-LEN(SUBSTITUTE(E61,".","")))/LEN(".")=1,"p","")</f>
        <v/>
      </c>
      <c r="L61" s="1652"/>
      <c r="M61" s="1652"/>
      <c r="R61" s="1652"/>
      <c r="U61" s="560"/>
      <c r="AA61" s="1648"/>
      <c r="AB61" s="1648"/>
      <c r="AC61" s="1648"/>
      <c r="AD61" s="1648"/>
      <c r="AE61" s="1648"/>
      <c r="AF61" s="1176">
        <v>11</v>
      </c>
    </row>
    <row s="1382" customFormat="1" customHeight="1" ht="11.549999999999999">
      <c r="A62" s="1003"/>
      <c r="C62" s="1652"/>
      <c r="D62" s="1654"/>
      <c r="E62" s="562" t="str">
        <f>FHD_NUM_P_26</f>
        <v>2.11</v>
      </c>
      <c r="F62" s="1540" t="str">
        <f>FHD_P_26</f>
        <v>Общехозяйственные расходы, в том числе:</v>
      </c>
      <c r="G62" s="1894" t="s">
        <v>705</v>
      </c>
      <c r="H62" s="573"/>
      <c r="I62" s="573"/>
      <c r="J62" s="305" t="str">
        <f>FHD_NOTE_P_26</f>
        <v>Указывается общая сумма общехозяйственных расходов.</v>
      </c>
      <c r="K62" s="1652" t="str">
        <f>IF((LEN(E62)-LEN(SUBSTITUTE(E62,".","")))/LEN(".")=1,"p","")</f>
        <v>p</v>
      </c>
      <c r="L62" s="1652"/>
      <c r="M62" s="1652"/>
      <c r="R62" s="1652"/>
      <c r="U62" s="560"/>
      <c r="AA62" s="1648"/>
      <c r="AB62" s="1648"/>
      <c r="AC62" s="1648"/>
      <c r="AD62" s="1648"/>
      <c r="AE62" s="1648"/>
      <c r="AF62" s="1176">
        <v>11</v>
      </c>
    </row>
    <row s="1382" customFormat="1" customHeight="1" ht="11.549999999999999">
      <c r="A63" s="1003"/>
      <c r="C63" s="1652"/>
      <c r="D63" s="1654"/>
      <c r="E63" s="562" t="str">
        <f>FHD_NUM_P_27</f>
        <v>2.11.1</v>
      </c>
      <c r="F63" s="1666" t="str">
        <f>FHD_P_27</f>
        <v>Расходы на текущий ремонт</v>
      </c>
      <c r="G63" s="1894" t="s">
        <v>705</v>
      </c>
      <c r="H63" s="573"/>
      <c r="I63" s="573"/>
      <c r="J63" s="305" t="str">
        <f>FHD_NOTE_P_27</f>
        <v>Указываются расходы на текущий ремонт, отнесенные к общехозяйственным расходам.</v>
      </c>
      <c r="K63" s="1652" t="str">
        <f>IF((LEN(E63)-LEN(SUBSTITUTE(E63,".","")))/LEN(".")=1,"p","")</f>
        <v/>
      </c>
      <c r="L63" s="1652"/>
      <c r="M63" s="1652"/>
      <c r="R63" s="1652"/>
      <c r="U63" s="560"/>
      <c r="AA63" s="1648"/>
      <c r="AB63" s="1648"/>
      <c r="AC63" s="1648"/>
      <c r="AD63" s="1648"/>
      <c r="AE63" s="1648"/>
      <c r="AF63" s="1176">
        <v>11</v>
      </c>
    </row>
    <row s="1382" customFormat="1" customHeight="1" ht="11.549999999999999">
      <c r="A64" s="1003"/>
      <c r="C64" s="1652"/>
      <c r="D64" s="1654"/>
      <c r="E64" s="562" t="str">
        <f>FHD_NUM_P_28</f>
        <v>2.11.2</v>
      </c>
      <c r="F64" s="1666" t="str">
        <f>FHD_P_28</f>
        <v>Расходы на капитальный ремонт</v>
      </c>
      <c r="G64" s="1894" t="s">
        <v>705</v>
      </c>
      <c r="H64" s="573"/>
      <c r="I64" s="573"/>
      <c r="J64" s="305" t="str">
        <f>FHD_NOTE_P_28</f>
        <v>Указываются расходы на капитальный ремонт, отнесенные к общехозяйственным расходам.</v>
      </c>
      <c r="K64" s="1652" t="str">
        <f>IF((LEN(E64)-LEN(SUBSTITUTE(E64,".","")))/LEN(".")=1,"p","")</f>
        <v/>
      </c>
      <c r="L64" s="1652"/>
      <c r="M64" s="1652"/>
      <c r="R64" s="1652"/>
      <c r="U64" s="560"/>
      <c r="AA64" s="1648"/>
      <c r="AB64" s="1648"/>
      <c r="AC64" s="1648"/>
      <c r="AD64" s="1648"/>
      <c r="AE64" s="1648"/>
      <c r="AF64" s="1176">
        <v>11</v>
      </c>
    </row>
    <row s="1382" customFormat="1" customHeight="1" ht="11.549999999999999">
      <c r="A65" s="1003"/>
      <c r="C65" s="1652"/>
      <c r="D65" s="1654"/>
      <c r="E65" s="562" t="str">
        <f>FHD_NUM_P_29</f>
        <v>2.12</v>
      </c>
      <c r="F65" s="1540" t="str">
        <f>FHD_P_29</f>
        <v>Расходы на капитальный и текущий ремонт основных средств</v>
      </c>
      <c r="G65" s="1894" t="s">
        <v>705</v>
      </c>
      <c r="H65" s="573"/>
      <c r="I65" s="573"/>
      <c r="J65" s="30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2" t="str">
        <f>IF((LEN(E65)-LEN(SUBSTITUTE(E65,".","")))/LEN(".")=1,"p","")</f>
        <v>p</v>
      </c>
      <c r="L65" s="1652"/>
      <c r="M65" s="1652"/>
      <c r="R65" s="1652"/>
      <c r="U65" s="560"/>
      <c r="AA65" s="1648"/>
      <c r="AB65" s="1648"/>
      <c r="AC65" s="1648"/>
      <c r="AD65" s="1648"/>
      <c r="AE65" s="1648"/>
      <c r="AF65" s="1176">
        <v>11</v>
      </c>
    </row>
    <row s="1382" customFormat="1" customHeight="1" ht="11.549999999999999">
      <c r="A66" s="1003"/>
      <c r="C66" s="1652"/>
      <c r="D66" s="1654"/>
      <c r="E66" s="562" t="str">
        <f>FHD_NUM_P_30</f>
        <v>2.12.1</v>
      </c>
      <c r="F66" s="166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4" t="s">
        <v>459</v>
      </c>
      <c r="H66" s="1665" t="s">
        <v>728</v>
      </c>
      <c r="I66" s="1665" t="s">
        <v>728</v>
      </c>
      <c r="J66" s="305" t="str">
        <f>FHD_NOTE_P_30</f>
        <v/>
      </c>
      <c r="K66" s="1652" t="str">
        <f>IF((LEN(E66)-LEN(SUBSTITUTE(E66,".","")))/LEN(".")=1,"p","")</f>
        <v/>
      </c>
      <c r="L66" s="1652">
        <f>_xlfn.IFERROR(MATCH("есть",B_FHD_FLAG_INDEX_1,0),0)</f>
        <v>0</v>
      </c>
      <c r="M66" s="1652"/>
      <c r="R66" s="1652"/>
      <c r="U66" s="560"/>
      <c r="AA66" s="1648"/>
      <c r="AB66" s="1648"/>
      <c r="AC66" s="1648"/>
      <c r="AD66" s="1648"/>
      <c r="AE66" s="1648"/>
      <c r="AF66" s="1176">
        <v>11</v>
      </c>
    </row>
    <row s="1382" customFormat="1" customHeight="1" ht="23.25" hidden="1">
      <c r="A67" s="2387" t="s">
        <v>729</v>
      </c>
      <c r="C67" s="1652"/>
      <c r="D67" s="1654"/>
      <c r="E67" s="562" t="str">
        <f>FHD_NUM_P_31</f>
        <v/>
      </c>
      <c r="F67" s="1540" t="str">
        <f>FHD_P_31</f>
        <v/>
      </c>
      <c r="G67" s="1894" t="s">
        <v>705</v>
      </c>
      <c r="H67" s="573"/>
      <c r="I67" s="573"/>
      <c r="J67" s="305" t="str">
        <f>FHD_NOTE_P_31</f>
        <v/>
      </c>
      <c r="K67" s="1652" t="str">
        <f>IF((LEN(E67)-LEN(SUBSTITUTE(E67,".","")))/LEN(".")=1,"p","")</f>
        <v/>
      </c>
      <c r="L67" s="1652"/>
      <c r="M67" s="1652"/>
      <c r="R67" s="1652"/>
      <c r="U67" s="560"/>
      <c r="AA67" s="1648"/>
      <c r="AB67" s="1648"/>
      <c r="AC67" s="1648"/>
      <c r="AD67" s="1648"/>
      <c r="AE67" s="1648"/>
      <c r="AF67" s="1176">
        <v>22</v>
      </c>
    </row>
    <row s="1382" customFormat="1" customHeight="1" ht="47.25" hidden="1">
      <c r="A68" s="2387"/>
      <c r="C68" s="1652"/>
      <c r="D68" s="1654"/>
      <c r="E68" s="562" t="str">
        <f>FHD_NUM_P_32</f>
        <v/>
      </c>
      <c r="F68" s="1666" t="str">
        <f>FHD_P_32</f>
        <v/>
      </c>
      <c r="G68" s="1894" t="s">
        <v>459</v>
      </c>
      <c r="H68" s="1665" t="s">
        <v>728</v>
      </c>
      <c r="I68" s="1665" t="s">
        <v>728</v>
      </c>
      <c r="J68" s="305" t="str">
        <f>FHD_NOTE_P_32</f>
        <v/>
      </c>
      <c r="K68" s="1652" t="str">
        <f>IF((LEN(E68)-LEN(SUBSTITUTE(E68,".","")))/LEN(".")=1,"p","")</f>
        <v/>
      </c>
      <c r="L68" s="1652">
        <f>_xlfn.IFERROR(MATCH("есть",B_FHD_FLAG_INDEX_2,0),0)</f>
        <v>0</v>
      </c>
      <c r="M68" s="1652"/>
      <c r="R68" s="1652"/>
      <c r="U68" s="560"/>
      <c r="AA68" s="1648"/>
      <c r="AB68" s="1648"/>
      <c r="AC68" s="1648"/>
      <c r="AD68" s="1648"/>
      <c r="AE68" s="1648"/>
      <c r="AF68" s="1176">
        <v>45</v>
      </c>
    </row>
    <row s="1382" customFormat="1" customHeight="1" ht="11.549999999999999">
      <c r="A69" s="1003"/>
      <c r="C69" s="1652"/>
      <c r="D69" s="1654"/>
      <c r="E69" s="562" t="str">
        <f>FHD_NUM_P_33</f>
        <v>2.13</v>
      </c>
      <c r="F69" s="154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5" t="s">
        <v>705</v>
      </c>
      <c r="H69" s="595">
        <f>SUM(H70:H71)</f>
        <v>0</v>
      </c>
      <c r="I69" s="595">
        <f>SUM(I70:I71)</f>
        <v>0</v>
      </c>
      <c r="J69" s="30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2" t="str">
        <f>IF((LEN(E69)-LEN(SUBSTITUTE(E69,".","")))/LEN(".")=1,"p","")</f>
        <v>p</v>
      </c>
      <c r="L69" s="1652"/>
      <c r="M69" s="1652"/>
      <c r="R69" s="1652"/>
      <c r="U69" s="560"/>
      <c r="AA69" s="1648"/>
      <c r="AB69" s="1648"/>
      <c r="AC69" s="1648"/>
      <c r="AD69" s="1648"/>
      <c r="AE69" s="1648"/>
      <c r="AF69" s="1176">
        <v>11</v>
      </c>
    </row>
    <row s="1658" customFormat="1" customHeight="1" ht="1.05">
      <c r="A70" s="1183"/>
      <c r="D70" s="564"/>
      <c r="E70" s="1029" t="str">
        <f>E69&amp;".0"</f>
        <v>2.13.0</v>
      </c>
      <c r="F70" s="1007"/>
      <c r="G70" s="1029"/>
      <c r="H70" s="1008"/>
      <c r="I70" s="1008"/>
      <c r="J70" s="1009"/>
      <c r="K70" s="1652" t="str">
        <f>IF((LEN(E70)-LEN(SUBSTITUTE(E70,".","")))/LEN(".")=1,"p","")</f>
        <v/>
      </c>
      <c r="AF70" s="1652">
        <v>1</v>
      </c>
    </row>
    <row s="1382" customFormat="1" customHeight="1" ht="14.699999999999998">
      <c r="A71" s="1003"/>
      <c r="C71" s="1652"/>
      <c r="D71" s="1649"/>
      <c r="E71" s="586"/>
      <c r="F71" s="587" t="s">
        <v>730</v>
      </c>
      <c r="G71" s="588"/>
      <c r="H71" s="589"/>
      <c r="I71" s="589"/>
      <c r="J71" s="317"/>
      <c r="K71" s="1652"/>
      <c r="L71" s="1652"/>
      <c r="M71" s="1652"/>
      <c r="R71" s="1652"/>
      <c r="U71" s="560"/>
      <c r="AA71" s="1648"/>
      <c r="AB71" s="1648"/>
      <c r="AC71" s="1648"/>
      <c r="AD71" s="1648"/>
      <c r="AE71" s="1648"/>
      <c r="AF71" s="1176">
        <v>14</v>
      </c>
    </row>
    <row s="1382" customFormat="1" customHeight="1" ht="18.75">
      <c r="A72" s="1005" t="s">
        <v>731</v>
      </c>
      <c r="C72" s="1652"/>
      <c r="D72" s="1654"/>
      <c r="E72" s="562" t="str">
        <f>FHD_NUM_P_34</f>
        <v>3</v>
      </c>
      <c r="F72" s="1896" t="str">
        <f>FHD_P_34</f>
        <v>Валовая прибыль (убытки) от реализации товаров и оказания услуг по регулируемому виду деятельности</v>
      </c>
      <c r="G72" s="1894" t="s">
        <v>705</v>
      </c>
      <c r="H72" s="573"/>
      <c r="I72" s="573"/>
      <c r="J72" s="305" t="str">
        <f>FHD_NOTE_P_34</f>
        <v/>
      </c>
      <c r="K72" s="559"/>
      <c r="L72" s="1652"/>
      <c r="M72" s="1652"/>
      <c r="R72" s="1652"/>
      <c r="U72" s="560"/>
      <c r="AA72" s="1648"/>
      <c r="AB72" s="1648"/>
      <c r="AC72" s="1648"/>
      <c r="AD72" s="1648"/>
      <c r="AE72" s="1648"/>
      <c r="AF72" s="1176">
        <v>0</v>
      </c>
    </row>
    <row s="1382" customFormat="1" customHeight="1" ht="19.95">
      <c r="A73" s="1003"/>
      <c r="C73" s="1652"/>
      <c r="D73" s="591"/>
      <c r="E73" s="562" t="str">
        <f>FHD_NUM_P_35</f>
        <v>4</v>
      </c>
      <c r="F73" s="1896" t="str">
        <f>FHD_P_35</f>
        <v>Чистая прибыль, полученная от регулируемого вида деятельности, в том числе:</v>
      </c>
      <c r="G73" s="1894" t="s">
        <v>705</v>
      </c>
      <c r="H73" s="573"/>
      <c r="I73" s="573"/>
      <c r="J73" s="305" t="str">
        <f>FHD_NOTE_P_35</f>
        <v>Указывается общая сумма чистой прибыли, полученной от регулируемого вида деятельности.</v>
      </c>
      <c r="K73" s="559"/>
      <c r="L73" s="1652"/>
      <c r="M73" s="1652"/>
      <c r="R73" s="1652"/>
      <c r="U73" s="560"/>
      <c r="AA73" s="1648"/>
      <c r="AB73" s="1648"/>
      <c r="AC73" s="1648"/>
      <c r="AD73" s="1648"/>
      <c r="AE73" s="1648"/>
      <c r="AF73" s="1176">
        <v>19</v>
      </c>
    </row>
    <row s="1382" customFormat="1" customHeight="1" ht="19.95">
      <c r="A74" s="1003"/>
      <c r="C74" s="1652"/>
      <c r="D74" s="1654"/>
      <c r="E74" s="562" t="str">
        <f>FHD_NUM_P_36</f>
        <v>4.1</v>
      </c>
      <c r="F74" s="154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4" t="s">
        <v>705</v>
      </c>
      <c r="H74" s="573"/>
      <c r="I74" s="573"/>
      <c r="J74" s="305" t="str">
        <f>FHD_NOTE_P_36</f>
        <v/>
      </c>
      <c r="K74" s="559"/>
      <c r="L74" s="1652"/>
      <c r="M74" s="1652"/>
      <c r="R74" s="1652"/>
      <c r="U74" s="560"/>
      <c r="AA74" s="1648"/>
      <c r="AB74" s="1648"/>
      <c r="AC74" s="1648"/>
      <c r="AD74" s="1648"/>
      <c r="AE74" s="1648"/>
      <c r="AF74" s="1176">
        <v>19</v>
      </c>
    </row>
    <row s="1382" customFormat="1" customHeight="1" ht="19.95">
      <c r="A75" s="1003"/>
      <c r="C75" s="1652"/>
      <c r="D75" s="1654"/>
      <c r="E75" s="562" t="str">
        <f>FHD_NUM_P_37</f>
        <v>5</v>
      </c>
      <c r="F75" s="1896" t="str">
        <f>FHD_P_37</f>
        <v>Изменение стоимости основных фондов, в том числе:</v>
      </c>
      <c r="G75" s="1894" t="s">
        <v>705</v>
      </c>
      <c r="H75" s="573"/>
      <c r="I75" s="573"/>
      <c r="J75" s="305" t="str">
        <f>FHD_NOTE_P_37</f>
        <v>Указывается общее изменение стоимости основных фондов.</v>
      </c>
      <c r="K75" s="559"/>
      <c r="L75" s="1652"/>
      <c r="M75" s="1652"/>
      <c r="R75" s="1652"/>
      <c r="U75" s="560"/>
      <c r="AA75" s="1648"/>
      <c r="AB75" s="1648"/>
      <c r="AC75" s="1648"/>
      <c r="AD75" s="1648"/>
      <c r="AE75" s="1648"/>
      <c r="AF75" s="1176">
        <v>19</v>
      </c>
    </row>
    <row s="1382" customFormat="1" customHeight="1" ht="19.95">
      <c r="A76" s="1003"/>
      <c r="C76" s="1652"/>
      <c r="D76" s="1654"/>
      <c r="E76" s="562" t="str">
        <f>FHD_NUM_P_38</f>
        <v>5.1</v>
      </c>
      <c r="F76" s="1540" t="str">
        <f>FHD_P_38</f>
        <v>Изменение стоимости основных фондов за счет:</v>
      </c>
      <c r="G76" s="1894" t="s">
        <v>705</v>
      </c>
      <c r="H76" s="573"/>
      <c r="I76" s="573"/>
      <c r="J76" s="305" t="str">
        <f>FHD_NOTE_P_38</f>
        <v>Указываются общее изменение стоимости основных фондов за счет их ввода в эксплуатацию и вывода из эксплуатации.</v>
      </c>
      <c r="K76" s="559"/>
      <c r="L76" s="1652"/>
      <c r="M76" s="1652"/>
      <c r="R76" s="1652"/>
      <c r="U76" s="560"/>
      <c r="AA76" s="1648"/>
      <c r="AB76" s="1648"/>
      <c r="AC76" s="1648"/>
      <c r="AD76" s="1648"/>
      <c r="AE76" s="1648"/>
      <c r="AF76" s="1176">
        <v>19</v>
      </c>
    </row>
    <row s="1382" customFormat="1" customHeight="1" ht="19.95">
      <c r="A77" s="1003"/>
      <c r="C77" s="1652"/>
      <c r="D77" s="1654"/>
      <c r="E77" s="562" t="str">
        <f>FHD_NUM_P_39</f>
        <v>5.1.1</v>
      </c>
      <c r="F77" s="1666" t="str">
        <f>FHD_P_39</f>
        <v>Изменения стоимости основных фондов за счет их ввода в эксплуатацию</v>
      </c>
      <c r="G77" s="2088" t="s">
        <v>705</v>
      </c>
      <c r="H77" s="573"/>
      <c r="I77" s="573"/>
      <c r="J77" s="305" t="str">
        <f>FHD_NOTE_P_39</f>
        <v>Указываются изменение стоимости основных фондов за счет их ввода в эксплуатацию.</v>
      </c>
      <c r="K77" s="559"/>
      <c r="L77" s="1652"/>
      <c r="M77" s="1652"/>
      <c r="R77" s="1652"/>
      <c r="U77" s="560"/>
      <c r="AA77" s="1648"/>
      <c r="AB77" s="1648"/>
      <c r="AC77" s="1648"/>
      <c r="AD77" s="1648"/>
      <c r="AE77" s="1648"/>
      <c r="AF77" s="1176">
        <v>19</v>
      </c>
    </row>
    <row s="1382" customFormat="1" customHeight="1" ht="19.95">
      <c r="A78" s="1003"/>
      <c r="C78" s="1652"/>
      <c r="D78" s="1654"/>
      <c r="E78" s="562" t="str">
        <f>FHD_NUM_P_40</f>
        <v>5.1.2</v>
      </c>
      <c r="F78" s="2092" t="str">
        <f>FHD_P_40</f>
        <v>Изменения стоимости основных фондов за счет их вывода в эксплуатацию</v>
      </c>
      <c r="G78" s="2087" t="s">
        <v>705</v>
      </c>
      <c r="H78" s="992"/>
      <c r="I78" s="573"/>
      <c r="J78" s="305" t="str">
        <f>FHD_NOTE_P_40</f>
        <v>Указываются изменение стоимости основных фондов за счет их вывода из эксплуатации.</v>
      </c>
      <c r="K78" s="559"/>
      <c r="L78" s="1652"/>
      <c r="M78" s="1652"/>
      <c r="R78" s="1652"/>
      <c r="U78" s="560"/>
      <c r="AA78" s="1648"/>
      <c r="AB78" s="1648"/>
      <c r="AC78" s="1648"/>
      <c r="AD78" s="1648"/>
      <c r="AE78" s="1648"/>
      <c r="AF78" s="1176">
        <v>19</v>
      </c>
    </row>
    <row s="1382" customFormat="1" customHeight="1" ht="19.95">
      <c r="A79" s="1003"/>
      <c r="C79" s="1652"/>
      <c r="D79" s="1654"/>
      <c r="E79" s="562" t="str">
        <f>FHD_NUM_P_41</f>
        <v>5.2</v>
      </c>
      <c r="F79" s="2091" t="str">
        <f>FHD_P_41</f>
        <v>Изменение стоимости основных фондов за счет их переоценки</v>
      </c>
      <c r="G79" s="2087" t="s">
        <v>705</v>
      </c>
      <c r="H79" s="992"/>
      <c r="I79" s="573"/>
      <c r="J79" s="305" t="str">
        <f>FHD_NOTE_P_41</f>
        <v/>
      </c>
      <c r="K79" s="559"/>
      <c r="L79" s="1652"/>
      <c r="M79" s="1652"/>
      <c r="R79" s="1652"/>
      <c r="U79" s="560"/>
      <c r="AA79" s="1648"/>
      <c r="AB79" s="1648"/>
      <c r="AC79" s="1648"/>
      <c r="AD79" s="1648"/>
      <c r="AE79" s="1648"/>
      <c r="AF79" s="1176">
        <v>19</v>
      </c>
    </row>
    <row s="1382" customFormat="1" customHeight="1" ht="20.25" hidden="1">
      <c r="A80" s="1005" t="s">
        <v>732</v>
      </c>
      <c r="C80" s="1652"/>
      <c r="D80" s="1654"/>
      <c r="E80" s="562" t="str">
        <f>FHD_NUM_P_42</f>
        <v/>
      </c>
      <c r="F80" s="2089" t="str">
        <f>FHD_P_42</f>
        <v/>
      </c>
      <c r="G80" s="2087" t="s">
        <v>705</v>
      </c>
      <c r="H80" s="992"/>
      <c r="I80" s="573"/>
      <c r="J80" s="305" t="str">
        <f>FHD_NOTE_P_42</f>
        <v/>
      </c>
      <c r="K80" s="559"/>
      <c r="L80" s="1652"/>
      <c r="M80" s="1652"/>
      <c r="R80" s="1652"/>
      <c r="U80" s="560"/>
      <c r="AA80" s="1648"/>
      <c r="AB80" s="1648"/>
      <c r="AC80" s="1648"/>
      <c r="AD80" s="1648"/>
      <c r="AE80" s="1648"/>
      <c r="AF80" s="1176">
        <v>19</v>
      </c>
    </row>
    <row s="1382" customFormat="1" customHeight="1" ht="19.95">
      <c r="A81" s="1003"/>
      <c r="C81" s="1652"/>
      <c r="D81" s="1654"/>
      <c r="E81" s="562" t="str">
        <f>FHD_NUM_P_43</f>
        <v>6</v>
      </c>
      <c r="F81" s="1896" t="str">
        <f>FHD_P_43</f>
        <v>Годовая бухгалтерская (финансовая) отчетность, включая бухгалтерский баланс и приложения к нему</v>
      </c>
      <c r="G81" s="2090" t="s">
        <v>459</v>
      </c>
      <c r="H81" s="1071"/>
      <c r="I81" s="834"/>
      <c r="J81" s="30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9"/>
      <c r="L81" s="1652"/>
      <c r="M81" s="1652"/>
      <c r="R81" s="1652"/>
      <c r="U81" s="560"/>
      <c r="AA81" s="1648"/>
      <c r="AB81" s="1648"/>
      <c r="AC81" s="1648"/>
      <c r="AD81" s="1648"/>
      <c r="AE81" s="1648"/>
      <c r="AF81" s="1176">
        <v>19</v>
      </c>
    </row>
    <row s="1382" customFormat="1" customHeight="1" ht="18.75" hidden="1">
      <c r="A82" s="2387" t="s">
        <v>733</v>
      </c>
      <c r="C82" s="751"/>
      <c r="D82" s="749"/>
      <c r="E82" s="562" t="str">
        <f>FHD_NUM_P_44</f>
        <v/>
      </c>
      <c r="F82" s="1896" t="str">
        <f>FHD_P_44</f>
        <v/>
      </c>
      <c r="G82" s="1897" t="s">
        <v>734</v>
      </c>
      <c r="H82" s="993"/>
      <c r="I82" s="593"/>
      <c r="J82" s="305" t="str">
        <f>FHD_NOTE_P_44</f>
        <v/>
      </c>
      <c r="K82" s="750"/>
      <c r="L82" s="751"/>
      <c r="M82" s="751"/>
      <c r="R82" s="751"/>
      <c r="U82" s="752"/>
      <c r="AA82" s="753"/>
      <c r="AB82" s="753"/>
      <c r="AC82" s="753"/>
      <c r="AD82" s="753"/>
      <c r="AE82" s="753"/>
      <c r="AF82" s="926">
        <v>0</v>
      </c>
    </row>
    <row s="1382" customFormat="1" customHeight="1" ht="18.75" hidden="1">
      <c r="A83" s="2387"/>
      <c r="C83" s="751"/>
      <c r="D83" s="749"/>
      <c r="E83" s="562" t="str">
        <f>FHD_NUM_P_45</f>
        <v/>
      </c>
      <c r="F83" s="1896" t="str">
        <f>FHD_P_45</f>
        <v/>
      </c>
      <c r="G83" s="1897" t="s">
        <v>734</v>
      </c>
      <c r="H83" s="993"/>
      <c r="I83" s="593"/>
      <c r="J83" s="305" t="str">
        <f>FHD_NOTE_P_45</f>
        <v/>
      </c>
      <c r="K83" s="750"/>
      <c r="L83" s="751"/>
      <c r="M83" s="751"/>
      <c r="R83" s="751"/>
      <c r="U83" s="752"/>
      <c r="AA83" s="753"/>
      <c r="AB83" s="753"/>
      <c r="AC83" s="753"/>
      <c r="AD83" s="753"/>
      <c r="AE83" s="753"/>
      <c r="AF83" s="926">
        <v>0</v>
      </c>
    </row>
    <row s="1382" customFormat="1" customHeight="1" ht="18.75" hidden="1">
      <c r="A84" s="2387"/>
      <c r="C84" s="751"/>
      <c r="D84" s="754"/>
      <c r="E84" s="562" t="str">
        <f>FHD_NUM_P_46</f>
        <v/>
      </c>
      <c r="F84" s="1896" t="str">
        <f>FHD_P_46</f>
        <v/>
      </c>
      <c r="G84" s="1897" t="s">
        <v>734</v>
      </c>
      <c r="H84" s="993"/>
      <c r="I84" s="593"/>
      <c r="J84" s="305" t="str">
        <f>FHD_NOTE_P_46</f>
        <v/>
      </c>
      <c r="K84" s="750"/>
      <c r="L84" s="751"/>
      <c r="M84" s="751"/>
      <c r="R84" s="751"/>
      <c r="U84" s="752"/>
      <c r="AA84" s="753"/>
      <c r="AB84" s="753"/>
      <c r="AC84" s="753"/>
      <c r="AD84" s="753"/>
      <c r="AE84" s="753"/>
      <c r="AF84" s="926">
        <v>0</v>
      </c>
    </row>
    <row s="1382" customFormat="1" customHeight="1" ht="18.75" hidden="1">
      <c r="A85" s="2387"/>
      <c r="C85" s="751"/>
      <c r="D85" s="749"/>
      <c r="E85" s="562" t="str">
        <f>FHD_NUM_P_47</f>
        <v/>
      </c>
      <c r="F85" s="1896" t="str">
        <f>FHD_P_47</f>
        <v/>
      </c>
      <c r="G85" s="1897" t="s">
        <v>734</v>
      </c>
      <c r="H85" s="993"/>
      <c r="I85" s="593"/>
      <c r="J85" s="305" t="str">
        <f>FHD_NOTE_P_47</f>
        <v/>
      </c>
      <c r="K85" s="750"/>
      <c r="L85" s="751"/>
      <c r="M85" s="751"/>
      <c r="R85" s="751"/>
      <c r="U85" s="752"/>
      <c r="AA85" s="753"/>
      <c r="AB85" s="753"/>
      <c r="AC85" s="753"/>
      <c r="AD85" s="753"/>
      <c r="AE85" s="753"/>
      <c r="AF85" s="926">
        <v>0</v>
      </c>
    </row>
    <row s="1651" customFormat="1" customHeight="1" ht="18.75" hidden="1">
      <c r="A86" s="2387"/>
      <c r="B86" s="926"/>
      <c r="C86" s="751"/>
      <c r="D86" s="749"/>
      <c r="E86" s="562" t="str">
        <f>FHD_NUM_P_48</f>
        <v/>
      </c>
      <c r="F86" s="1896" t="str">
        <f>FHD_P_48</f>
        <v/>
      </c>
      <c r="G86" s="1897" t="s">
        <v>734</v>
      </c>
      <c r="H86" s="993"/>
      <c r="I86" s="593"/>
      <c r="J86" s="305" t="str">
        <f>FHD_NOTE_P_48</f>
        <v/>
      </c>
      <c r="K86" s="750"/>
      <c r="L86" s="751"/>
      <c r="M86" s="751"/>
      <c r="N86" s="926"/>
      <c r="O86" s="926"/>
      <c r="P86" s="926"/>
      <c r="Q86" s="926"/>
      <c r="R86" s="751"/>
      <c r="S86" s="926"/>
      <c r="T86" s="926"/>
      <c r="U86" s="752"/>
      <c r="V86" s="926"/>
      <c r="W86" s="926"/>
      <c r="X86" s="926"/>
      <c r="Y86" s="926"/>
      <c r="Z86" s="926"/>
      <c r="AA86" s="753"/>
      <c r="AB86" s="753"/>
      <c r="AC86" s="753"/>
      <c r="AD86" s="753"/>
      <c r="AE86" s="753"/>
      <c r="AF86" s="755">
        <v>0</v>
      </c>
    </row>
    <row s="1651" customFormat="1" customHeight="1" ht="18.75" hidden="1">
      <c r="A87" s="2387"/>
      <c r="B87" s="926"/>
      <c r="C87" s="751"/>
      <c r="D87" s="749"/>
      <c r="E87" s="562" t="str">
        <f>FHD_NUM_P_49</f>
        <v/>
      </c>
      <c r="F87" s="1896" t="str">
        <f>FHD_P_49</f>
        <v/>
      </c>
      <c r="G87" s="1897" t="s">
        <v>734</v>
      </c>
      <c r="H87" s="994">
        <f>SUM(H88:H89)</f>
        <v>0</v>
      </c>
      <c r="I87" s="765">
        <f>SUM(I88:I89)</f>
        <v>0</v>
      </c>
      <c r="J87" s="305" t="str">
        <f>FHD_NOTE_P_49</f>
        <v/>
      </c>
      <c r="K87" s="750"/>
      <c r="L87" s="751"/>
      <c r="M87" s="751"/>
      <c r="N87" s="926"/>
      <c r="O87" s="926"/>
      <c r="P87" s="926"/>
      <c r="Q87" s="926"/>
      <c r="R87" s="751"/>
      <c r="S87" s="926"/>
      <c r="T87" s="926"/>
      <c r="U87" s="752"/>
      <c r="V87" s="926"/>
      <c r="W87" s="926"/>
      <c r="X87" s="926"/>
      <c r="Y87" s="926"/>
      <c r="Z87" s="926"/>
      <c r="AA87" s="753"/>
      <c r="AB87" s="753"/>
      <c r="AC87" s="753"/>
      <c r="AD87" s="753"/>
      <c r="AE87" s="753"/>
      <c r="AF87" s="755">
        <v>0</v>
      </c>
    </row>
    <row s="1651" customFormat="1" customHeight="1" ht="18.75" hidden="1">
      <c r="A88" s="2387"/>
      <c r="B88" s="926"/>
      <c r="C88" s="751"/>
      <c r="D88" s="749"/>
      <c r="E88" s="562" t="str">
        <f>FHD_NUM_P_50</f>
        <v/>
      </c>
      <c r="F88" s="1896" t="str">
        <f>FHD_P_50</f>
        <v/>
      </c>
      <c r="G88" s="1897" t="s">
        <v>734</v>
      </c>
      <c r="H88" s="993"/>
      <c r="I88" s="593"/>
      <c r="J88" s="305" t="str">
        <f>FHD_NOTE_P_50</f>
        <v/>
      </c>
      <c r="K88" s="750"/>
      <c r="L88" s="751"/>
      <c r="M88" s="751"/>
      <c r="N88" s="926"/>
      <c r="O88" s="926"/>
      <c r="P88" s="926"/>
      <c r="Q88" s="926"/>
      <c r="R88" s="751"/>
      <c r="S88" s="926"/>
      <c r="T88" s="926"/>
      <c r="U88" s="752"/>
      <c r="V88" s="926"/>
      <c r="W88" s="926"/>
      <c r="X88" s="926"/>
      <c r="Y88" s="926"/>
      <c r="Z88" s="926"/>
      <c r="AA88" s="753"/>
      <c r="AB88" s="753"/>
      <c r="AC88" s="753"/>
      <c r="AD88" s="753"/>
      <c r="AE88" s="753"/>
      <c r="AF88" s="755">
        <v>0</v>
      </c>
    </row>
    <row s="1651" customFormat="1" customHeight="1" ht="18.75" hidden="1">
      <c r="A89" s="2387"/>
      <c r="B89" s="926"/>
      <c r="C89" s="751"/>
      <c r="D89" s="749"/>
      <c r="E89" s="562" t="str">
        <f>FHD_NUM_P_51</f>
        <v/>
      </c>
      <c r="F89" s="1896" t="str">
        <f>FHD_P_51</f>
        <v/>
      </c>
      <c r="G89" s="1897" t="s">
        <v>734</v>
      </c>
      <c r="H89" s="993"/>
      <c r="I89" s="593"/>
      <c r="J89" s="305" t="str">
        <f>FHD_NOTE_P_51</f>
        <v/>
      </c>
      <c r="K89" s="750"/>
      <c r="L89" s="751"/>
      <c r="M89" s="751"/>
      <c r="N89" s="926"/>
      <c r="O89" s="926"/>
      <c r="P89" s="926"/>
      <c r="Q89" s="926"/>
      <c r="R89" s="751"/>
      <c r="S89" s="926"/>
      <c r="T89" s="926"/>
      <c r="U89" s="752"/>
      <c r="V89" s="926"/>
      <c r="W89" s="926"/>
      <c r="X89" s="926"/>
      <c r="Y89" s="926"/>
      <c r="Z89" s="926"/>
      <c r="AA89" s="753"/>
      <c r="AB89" s="753"/>
      <c r="AC89" s="753"/>
      <c r="AD89" s="753"/>
      <c r="AE89" s="753"/>
      <c r="AF89" s="755">
        <v>0</v>
      </c>
    </row>
    <row s="1651" customFormat="1" customHeight="1" ht="18.75" hidden="1">
      <c r="A90" s="2387"/>
      <c r="B90" s="926"/>
      <c r="C90" s="751"/>
      <c r="D90" s="749"/>
      <c r="E90" s="562" t="str">
        <f>FHD_NUM_P_52</f>
        <v/>
      </c>
      <c r="F90" s="1896" t="str">
        <f>FHD_P_52</f>
        <v/>
      </c>
      <c r="G90" s="1897" t="s">
        <v>711</v>
      </c>
      <c r="H90" s="992"/>
      <c r="I90" s="573"/>
      <c r="J90" s="305" t="str">
        <f>FHD_NOTE_P_52</f>
        <v/>
      </c>
      <c r="K90" s="750"/>
      <c r="L90" s="751"/>
      <c r="M90" s="751"/>
      <c r="N90" s="926"/>
      <c r="O90" s="926"/>
      <c r="P90" s="926"/>
      <c r="Q90" s="926"/>
      <c r="R90" s="751"/>
      <c r="S90" s="926"/>
      <c r="T90" s="926"/>
      <c r="U90" s="752"/>
      <c r="V90" s="926"/>
      <c r="W90" s="926"/>
      <c r="X90" s="926"/>
      <c r="Y90" s="926"/>
      <c r="Z90" s="926"/>
      <c r="AA90" s="753"/>
      <c r="AB90" s="753"/>
      <c r="AC90" s="753"/>
      <c r="AD90" s="753"/>
      <c r="AE90" s="753"/>
      <c r="AF90" s="755">
        <v>0</v>
      </c>
    </row>
    <row s="1382" customFormat="1" customHeight="1" ht="18.75" hidden="1">
      <c r="A91" s="2389" t="s">
        <v>735</v>
      </c>
      <c r="C91" s="751"/>
      <c r="D91" s="749"/>
      <c r="E91" s="562" t="str">
        <f>FHD_NUM_P_53</f>
        <v/>
      </c>
      <c r="F91" s="1896" t="str">
        <f>FHD_P_53</f>
        <v/>
      </c>
      <c r="G91" s="1897" t="s">
        <v>734</v>
      </c>
      <c r="H91" s="993"/>
      <c r="I91" s="593"/>
      <c r="J91" s="305" t="str">
        <f>FHD_NOTE_P_53</f>
        <v/>
      </c>
      <c r="K91" s="750"/>
      <c r="L91" s="751"/>
      <c r="M91" s="751"/>
      <c r="R91" s="751"/>
      <c r="U91" s="752"/>
      <c r="AA91" s="753"/>
      <c r="AB91" s="753"/>
      <c r="AC91" s="753"/>
      <c r="AD91" s="753"/>
      <c r="AE91" s="753"/>
      <c r="AF91" s="926">
        <v>0</v>
      </c>
    </row>
    <row s="1382" customFormat="1" customHeight="1" ht="18.75" hidden="1">
      <c r="A92" s="2389"/>
      <c r="C92" s="751"/>
      <c r="D92" s="749"/>
      <c r="E92" s="562" t="str">
        <f>FHD_NUM_P_54</f>
        <v/>
      </c>
      <c r="F92" s="1896" t="str">
        <f>FHD_P_54</f>
        <v/>
      </c>
      <c r="G92" s="1897" t="s">
        <v>734</v>
      </c>
      <c r="H92" s="993"/>
      <c r="I92" s="593"/>
      <c r="J92" s="305" t="str">
        <f>FHD_NOTE_P_54</f>
        <v/>
      </c>
      <c r="K92" s="750"/>
      <c r="L92" s="751"/>
      <c r="M92" s="751"/>
      <c r="R92" s="751"/>
      <c r="U92" s="752"/>
      <c r="AA92" s="753"/>
      <c r="AB92" s="753"/>
      <c r="AC92" s="753"/>
      <c r="AD92" s="753"/>
      <c r="AE92" s="753"/>
      <c r="AF92" s="926">
        <v>0</v>
      </c>
    </row>
    <row s="1382" customFormat="1" customHeight="1" ht="18.75" hidden="1">
      <c r="A93" s="2389"/>
      <c r="C93" s="751"/>
      <c r="D93" s="754"/>
      <c r="E93" s="562" t="str">
        <f>FHD_NUM_P_55</f>
        <v/>
      </c>
      <c r="F93" s="1896" t="str">
        <f>FHD_P_55</f>
        <v/>
      </c>
      <c r="G93" s="1900"/>
      <c r="H93" s="993"/>
      <c r="I93" s="593"/>
      <c r="J93" s="305" t="str">
        <f>FHD_NOTE_P_55</f>
        <v/>
      </c>
      <c r="K93" s="750"/>
      <c r="L93" s="751"/>
      <c r="M93" s="751"/>
      <c r="R93" s="751"/>
      <c r="U93" s="752"/>
      <c r="AA93" s="753"/>
      <c r="AB93" s="753"/>
      <c r="AC93" s="753"/>
      <c r="AD93" s="753"/>
      <c r="AE93" s="753"/>
      <c r="AF93" s="926">
        <v>0</v>
      </c>
    </row>
    <row s="1382" customFormat="1" customHeight="1" ht="18.75" hidden="1">
      <c r="A94" s="2389"/>
      <c r="C94" s="751"/>
      <c r="D94" s="749"/>
      <c r="E94" s="562" t="str">
        <f>FHD_NUM_P_56</f>
        <v/>
      </c>
      <c r="F94" s="1896" t="str">
        <f>FHD_P_56</f>
        <v/>
      </c>
      <c r="G94" s="1897" t="s">
        <v>736</v>
      </c>
      <c r="H94" s="993"/>
      <c r="I94" s="593"/>
      <c r="J94" s="305" t="str">
        <f>FHD_NOTE_P_56</f>
        <v/>
      </c>
      <c r="K94" s="750"/>
      <c r="L94" s="751"/>
      <c r="M94" s="751"/>
      <c r="R94" s="751"/>
      <c r="U94" s="752"/>
      <c r="AA94" s="753"/>
      <c r="AB94" s="753"/>
      <c r="AC94" s="753"/>
      <c r="AD94" s="753"/>
      <c r="AE94" s="753"/>
      <c r="AF94" s="926">
        <v>0</v>
      </c>
    </row>
    <row s="1651" customFormat="1" customHeight="1" ht="18.75" hidden="1">
      <c r="A95" s="2389"/>
      <c r="B95" s="926"/>
      <c r="C95" s="751"/>
      <c r="D95" s="749"/>
      <c r="E95" s="562" t="str">
        <f>FHD_NUM_P_57</f>
        <v/>
      </c>
      <c r="F95" s="1896" t="str">
        <f>FHD_P_57</f>
        <v/>
      </c>
      <c r="G95" s="1897" t="s">
        <v>711</v>
      </c>
      <c r="H95" s="992"/>
      <c r="I95" s="573"/>
      <c r="J95" s="305" t="str">
        <f>FHD_NOTE_P_57</f>
        <v/>
      </c>
      <c r="K95" s="750"/>
      <c r="L95" s="751"/>
      <c r="M95" s="751"/>
      <c r="N95" s="926"/>
      <c r="O95" s="926"/>
      <c r="P95" s="926"/>
      <c r="Q95" s="926"/>
      <c r="R95" s="751"/>
      <c r="S95" s="926"/>
      <c r="T95" s="926"/>
      <c r="U95" s="752"/>
      <c r="V95" s="926"/>
      <c r="W95" s="926"/>
      <c r="X95" s="926"/>
      <c r="Y95" s="926"/>
      <c r="Z95" s="926"/>
      <c r="AA95" s="753"/>
      <c r="AB95" s="753"/>
      <c r="AC95" s="753"/>
      <c r="AD95" s="753"/>
      <c r="AE95" s="753"/>
      <c r="AF95" s="755">
        <v>0</v>
      </c>
    </row>
    <row customHeight="1" ht="18.75" hidden="1">
      <c r="A96" s="2387" t="s">
        <v>737</v>
      </c>
      <c r="D96" s="1654"/>
      <c r="E96" s="562" t="str">
        <f>FHD_NUM_P_58</f>
        <v/>
      </c>
      <c r="F96" s="1896" t="str">
        <f>FHD_P_58</f>
        <v/>
      </c>
      <c r="G96" s="1897" t="s">
        <v>734</v>
      </c>
      <c r="H96" s="993"/>
      <c r="I96" s="593"/>
      <c r="J96" s="305" t="str">
        <f>FHD_NOTE_P_58</f>
        <v/>
      </c>
      <c r="K96" s="559"/>
      <c r="AF96" s="1647">
        <v>0</v>
      </c>
    </row>
    <row customHeight="1" ht="18.75" hidden="1">
      <c r="A97" s="2387"/>
      <c r="D97" s="1654"/>
      <c r="E97" s="562" t="str">
        <f>FHD_NUM_P_59</f>
        <v/>
      </c>
      <c r="F97" s="1896" t="str">
        <f>FHD_P_59</f>
        <v/>
      </c>
      <c r="G97" s="1897" t="s">
        <v>734</v>
      </c>
      <c r="H97" s="993"/>
      <c r="I97" s="593"/>
      <c r="J97" s="305" t="str">
        <f>FHD_NOTE_P_59</f>
        <v/>
      </c>
      <c r="K97" s="559"/>
      <c r="AF97" s="1647">
        <v>0</v>
      </c>
    </row>
    <row customHeight="1" ht="18.75" hidden="1">
      <c r="A98" s="2387"/>
      <c r="D98" s="1654"/>
      <c r="E98" s="562" t="str">
        <f>FHD_NUM_P_60</f>
        <v/>
      </c>
      <c r="F98" s="1896" t="str">
        <f>FHD_P_60</f>
        <v/>
      </c>
      <c r="G98" s="1897" t="s">
        <v>734</v>
      </c>
      <c r="H98" s="993"/>
      <c r="I98" s="593"/>
      <c r="J98" s="305" t="str">
        <f>FHD_NOTE_P_60</f>
        <v/>
      </c>
      <c r="K98" s="559"/>
      <c r="AF98" s="1647">
        <v>0</v>
      </c>
    </row>
    <row s="1382" customFormat="1" customHeight="1" ht="18.75">
      <c r="A99" s="2387" t="s">
        <v>738</v>
      </c>
      <c r="C99" s="1652"/>
      <c r="D99" s="1654"/>
      <c r="E99" s="562" t="str">
        <f>FHD_NUM_P_61</f>
        <v>7</v>
      </c>
      <c r="F99" s="189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4" t="s">
        <v>709</v>
      </c>
      <c r="H99" s="995"/>
      <c r="I99" s="758"/>
      <c r="J99" s="30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9"/>
      <c r="L99" s="1652"/>
      <c r="M99" s="1652"/>
      <c r="R99" s="1652"/>
      <c r="U99" s="560"/>
      <c r="AA99" s="1648"/>
      <c r="AB99" s="1648"/>
      <c r="AC99" s="1648"/>
      <c r="AD99" s="1648"/>
      <c r="AE99" s="1648"/>
      <c r="AF99" s="1176">
        <v>0</v>
      </c>
    </row>
    <row s="1658" customFormat="1" customHeight="1" ht="0.75">
      <c r="A100" s="2387"/>
      <c r="D100" s="564"/>
      <c r="E100" s="1029" t="str">
        <f>E99&amp;".0"</f>
        <v>7.0</v>
      </c>
      <c r="F100" s="1010"/>
      <c r="G100" s="1011"/>
      <c r="H100" s="1008"/>
      <c r="I100" s="1008"/>
      <c r="J100" s="1012"/>
      <c r="AF100" s="1652">
        <v>0</v>
      </c>
    </row>
    <row customHeight="1" ht="15">
      <c r="A101" s="2387"/>
      <c r="D101" s="1649"/>
      <c r="E101" s="987"/>
      <c r="F101" s="988" t="s">
        <v>739</v>
      </c>
      <c r="G101" s="588"/>
      <c r="H101" s="589"/>
      <c r="I101" s="589"/>
      <c r="J101" s="1020" t="s">
        <v>740</v>
      </c>
      <c r="K101" s="559"/>
      <c r="AF101" s="1647">
        <v>0</v>
      </c>
    </row>
    <row s="1382" customFormat="1" customHeight="1" ht="18.75">
      <c r="A102" s="2387"/>
      <c r="C102" s="1652"/>
      <c r="D102" s="1654"/>
      <c r="E102" s="562" t="str">
        <f>FHD_NUM_P_62</f>
        <v>8</v>
      </c>
      <c r="F102" s="1896" t="str">
        <f>FHD_P_62</f>
        <v>Тепловая нагрузка по договорам, заключенным в рамках осуществления регулируемых видов деятельности</v>
      </c>
      <c r="G102" s="1893" t="s">
        <v>709</v>
      </c>
      <c r="H102" s="573"/>
      <c r="I102" s="573"/>
      <c r="J102" s="30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9"/>
      <c r="L102" s="1652"/>
      <c r="M102" s="1652"/>
      <c r="R102" s="1652"/>
      <c r="U102" s="560"/>
      <c r="AA102" s="1648"/>
      <c r="AB102" s="1648"/>
      <c r="AC102" s="1648"/>
      <c r="AD102" s="1648"/>
      <c r="AE102" s="1648"/>
      <c r="AF102" s="1176">
        <v>0</v>
      </c>
    </row>
    <row s="1382" customFormat="1" customHeight="1" ht="18.75">
      <c r="A103" s="2387"/>
      <c r="C103" s="1652"/>
      <c r="D103" s="1654"/>
      <c r="E103" s="562" t="str">
        <f>FHD_NUM_P_63</f>
        <v>9</v>
      </c>
      <c r="F103" s="1896" t="str">
        <f>FHD_P_63</f>
        <v>Объем вырабатываемой регулируемой организацией тепловой энергии в рамках осуществления регулируемых видов деятельности</v>
      </c>
      <c r="G103" s="1893" t="s">
        <v>736</v>
      </c>
      <c r="H103" s="593"/>
      <c r="I103" s="593"/>
      <c r="J103" s="30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9"/>
      <c r="L103" s="1652"/>
      <c r="M103" s="1652"/>
      <c r="R103" s="1652"/>
      <c r="U103" s="560"/>
      <c r="AA103" s="1648"/>
      <c r="AB103" s="1648"/>
      <c r="AC103" s="1648"/>
      <c r="AD103" s="1648"/>
      <c r="AE103" s="1648"/>
      <c r="AF103" s="1176">
        <v>0</v>
      </c>
    </row>
    <row s="1382" customFormat="1" customHeight="1" ht="18.75">
      <c r="A104" s="2387"/>
      <c r="C104" s="1652" t="s">
        <v>741</v>
      </c>
      <c r="D104" s="1654"/>
      <c r="E104" s="562" t="str">
        <f>FHD_NUM_P_64</f>
        <v>9.1</v>
      </c>
      <c r="F104" s="1896" t="str">
        <f>FHD_P_64</f>
        <v>Объем приобретаемой регулируемой организацией тепловой энергии в рамках осуществления регулируемых видов деятельности</v>
      </c>
      <c r="G104" s="1893" t="s">
        <v>736</v>
      </c>
      <c r="H104" s="561"/>
      <c r="I104" s="561"/>
      <c r="J104" s="305" t="str">
        <f>FHD_NOTE_P_64</f>
        <v>Информация указывается только едиными теплоснабжающими организациями.</v>
      </c>
      <c r="K104" s="559"/>
      <c r="L104" s="1652"/>
      <c r="M104" s="1652"/>
      <c r="R104" s="1652"/>
      <c r="U104" s="560"/>
      <c r="AA104" s="1648"/>
      <c r="AB104" s="1648"/>
      <c r="AC104" s="1648"/>
      <c r="AD104" s="1648"/>
      <c r="AE104" s="1648"/>
      <c r="AF104" s="1176">
        <v>0</v>
      </c>
    </row>
    <row s="1382" customFormat="1" customHeight="1" ht="18.75">
      <c r="A105" s="2387"/>
      <c r="C105" s="1652"/>
      <c r="D105" s="1654"/>
      <c r="E105" s="562" t="str">
        <f>FHD_NUM_P_65</f>
        <v>10</v>
      </c>
      <c r="F105" s="189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3" t="s">
        <v>736</v>
      </c>
      <c r="H105" s="593"/>
      <c r="I105" s="593"/>
      <c r="J105" s="30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9"/>
      <c r="L105" s="1652"/>
      <c r="M105" s="1652"/>
      <c r="R105" s="1652"/>
      <c r="U105" s="560"/>
      <c r="AA105" s="1648"/>
      <c r="AB105" s="1648"/>
      <c r="AC105" s="1648"/>
      <c r="AD105" s="1648"/>
      <c r="AE105" s="1648"/>
      <c r="AF105" s="1176">
        <v>0</v>
      </c>
    </row>
    <row s="1382" customFormat="1" customHeight="1" ht="18.75">
      <c r="A106" s="2387"/>
      <c r="C106" s="1652"/>
      <c r="D106" s="1654"/>
      <c r="E106" s="562" t="str">
        <f>FHD_NUM_P_66</f>
        <v>10.1</v>
      </c>
      <c r="F106" s="1540" t="str">
        <f>FHD_P_66</f>
        <v>По приборам учёта </v>
      </c>
      <c r="G106" s="1893" t="s">
        <v>736</v>
      </c>
      <c r="H106" s="593"/>
      <c r="I106" s="593"/>
      <c r="J106" s="305" t="str">
        <f>FHD_NOTE_P_66</f>
        <v/>
      </c>
      <c r="K106" s="559"/>
      <c r="L106" s="1652"/>
      <c r="M106" s="1652"/>
      <c r="R106" s="1652"/>
      <c r="U106" s="560"/>
      <c r="AA106" s="1648"/>
      <c r="AB106" s="1648"/>
      <c r="AC106" s="1648"/>
      <c r="AD106" s="1648"/>
      <c r="AE106" s="1648"/>
      <c r="AF106" s="1176">
        <v>0</v>
      </c>
    </row>
    <row s="1382" customFormat="1" customHeight="1" ht="18.75">
      <c r="A107" s="2387"/>
      <c r="C107" s="1652"/>
      <c r="D107" s="1654"/>
      <c r="E107" s="562" t="str">
        <f>FHD_NUM_P_67</f>
        <v>10.1.1</v>
      </c>
      <c r="F107" s="166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3" t="s">
        <v>736</v>
      </c>
      <c r="H107" s="593"/>
      <c r="I107" s="593"/>
      <c r="J107" s="305" t="str">
        <f>FHD_NOTE_P_67</f>
        <v/>
      </c>
      <c r="K107" s="559"/>
      <c r="L107" s="1652"/>
      <c r="M107" s="1652"/>
      <c r="R107" s="1652"/>
      <c r="U107" s="560"/>
      <c r="AA107" s="1648"/>
      <c r="AB107" s="1648"/>
      <c r="AC107" s="1648"/>
      <c r="AD107" s="1648"/>
      <c r="AE107" s="1648"/>
      <c r="AF107" s="1176">
        <v>0</v>
      </c>
    </row>
    <row s="1382" customFormat="1" customHeight="1" ht="18.75">
      <c r="A108" s="2387"/>
      <c r="C108" s="1652"/>
      <c r="D108" s="1654"/>
      <c r="E108" s="562" t="str">
        <f>FHD_NUM_P_68</f>
        <v>10.2</v>
      </c>
      <c r="F108" s="1540" t="str">
        <f>FHD_P_68</f>
        <v>Расчётным путём</v>
      </c>
      <c r="G108" s="1893" t="s">
        <v>736</v>
      </c>
      <c r="H108" s="593"/>
      <c r="I108" s="593"/>
      <c r="J108" s="305" t="str">
        <f>FHD_NOTE_P_68</f>
        <v/>
      </c>
      <c r="K108" s="559"/>
      <c r="L108" s="1652"/>
      <c r="M108" s="1652"/>
      <c r="R108" s="1652"/>
      <c r="U108" s="560"/>
      <c r="AA108" s="1648"/>
      <c r="AB108" s="1648"/>
      <c r="AC108" s="1648"/>
      <c r="AD108" s="1648"/>
      <c r="AE108" s="1648"/>
      <c r="AF108" s="1176">
        <v>0</v>
      </c>
    </row>
    <row s="1382" customFormat="1" customHeight="1" ht="18.75">
      <c r="A109" s="2387"/>
      <c r="C109" s="1652"/>
      <c r="D109" s="1654"/>
      <c r="E109" s="562" t="str">
        <f>FHD_NUM_P_69</f>
        <v>10.3</v>
      </c>
      <c r="F109" s="1540" t="str">
        <f>FHD_P_69</f>
        <v>По нормативам потребления коммунальных услуг и нормативам потребления коммунальных ресурсов</v>
      </c>
      <c r="G109" s="1893" t="s">
        <v>736</v>
      </c>
      <c r="H109" s="593"/>
      <c r="I109" s="593"/>
      <c r="J109" s="305" t="str">
        <f>FHD_NOTE_P_69</f>
        <v/>
      </c>
      <c r="K109" s="559"/>
      <c r="L109" s="1652"/>
      <c r="M109" s="1652"/>
      <c r="R109" s="1652"/>
      <c r="U109" s="560"/>
      <c r="AA109" s="1648"/>
      <c r="AB109" s="1648"/>
      <c r="AC109" s="1648"/>
      <c r="AD109" s="1648"/>
      <c r="AE109" s="1648"/>
      <c r="AF109" s="1176">
        <v>0</v>
      </c>
    </row>
    <row s="1382" customFormat="1" customHeight="1" ht="22.5">
      <c r="A110" s="2387"/>
      <c r="C110" s="1652"/>
      <c r="D110" s="1654"/>
      <c r="E110" s="562" t="str">
        <f>FHD_NUM_P_70</f>
        <v>11</v>
      </c>
      <c r="F110" s="189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3" t="s">
        <v>742</v>
      </c>
      <c r="H110" s="573"/>
      <c r="I110" s="573"/>
      <c r="J110" s="305" t="str">
        <f>FHD_NOTE_P_70</f>
        <v/>
      </c>
      <c r="K110" s="559"/>
      <c r="L110" s="1652"/>
      <c r="M110" s="1652"/>
      <c r="R110" s="1652"/>
      <c r="U110" s="560"/>
      <c r="AA110" s="1648"/>
      <c r="AB110" s="1648"/>
      <c r="AC110" s="1648"/>
      <c r="AD110" s="1648"/>
      <c r="AE110" s="1648"/>
      <c r="AF110" s="1176">
        <v>0</v>
      </c>
    </row>
    <row s="1382" customFormat="1" customHeight="1" ht="22.5">
      <c r="A111" s="2387"/>
      <c r="C111" s="1652"/>
      <c r="D111" s="1654"/>
      <c r="E111" s="562" t="str">
        <f>FHD_NUM_P_71</f>
        <v>12</v>
      </c>
      <c r="F111" s="1896" t="str">
        <f>FHD_P_71</f>
        <v>Фактический объем потерь при передаче тепловой энергии</v>
      </c>
      <c r="G111" s="1893" t="s">
        <v>742</v>
      </c>
      <c r="H111" s="573"/>
      <c r="I111" s="573"/>
      <c r="J111" s="305" t="str">
        <f>FHD_NOTE_P_71</f>
        <v/>
      </c>
      <c r="K111" s="559"/>
      <c r="L111" s="1652"/>
      <c r="M111" s="1652"/>
      <c r="R111" s="1652"/>
      <c r="U111" s="560"/>
      <c r="AA111" s="1648"/>
      <c r="AB111" s="1648"/>
      <c r="AC111" s="1648"/>
      <c r="AD111" s="1648"/>
      <c r="AE111" s="1648"/>
      <c r="AF111" s="1176">
        <v>0</v>
      </c>
    </row>
    <row customHeight="1" ht="19.95">
      <c r="D112" s="1654"/>
      <c r="E112" s="562" t="str">
        <f>FHD_NUM_P_72</f>
        <v>13</v>
      </c>
      <c r="F112" s="1896" t="str">
        <f>FHD_P_72</f>
        <v>Среднесписочная численность основного производственного персонала</v>
      </c>
      <c r="G112" s="1892" t="s">
        <v>743</v>
      </c>
      <c r="H112" s="593"/>
      <c r="I112" s="593"/>
      <c r="J112" s="305" t="str">
        <f>FHD_NOTE_P_72</f>
        <v/>
      </c>
      <c r="K112" s="559"/>
      <c r="AF112" s="1647">
        <v>19</v>
      </c>
    </row>
    <row customHeight="1" ht="18.75">
      <c r="A113" s="1005" t="s">
        <v>744</v>
      </c>
      <c r="D113" s="1654"/>
      <c r="E113" s="562" t="str">
        <f>FHD_NUM_P_73</f>
        <v>14</v>
      </c>
      <c r="F113" s="1896" t="str">
        <f>FHD_P_73</f>
        <v>Среднесписочная численность административно-управленческого персонала</v>
      </c>
      <c r="G113" s="986" t="s">
        <v>743</v>
      </c>
      <c r="H113" s="984"/>
      <c r="I113" s="984"/>
      <c r="J113" s="305" t="str">
        <f>FHD_NOTE_P_73</f>
        <v/>
      </c>
      <c r="K113" s="559"/>
      <c r="AF113" s="1647">
        <v>0</v>
      </c>
    </row>
    <row customHeight="1" ht="33.75" hidden="1">
      <c r="A114" s="1005" t="s">
        <v>745</v>
      </c>
      <c r="D114" s="1654"/>
      <c r="E114" s="562" t="str">
        <f>FHD_NUM_P_74</f>
        <v/>
      </c>
      <c r="F114" s="1896" t="str">
        <f>FHD_P_74</f>
        <v/>
      </c>
      <c r="G114" s="1892" t="s">
        <v>746</v>
      </c>
      <c r="H114" s="593"/>
      <c r="I114" s="593"/>
      <c r="J114" s="305" t="str">
        <f>FHD_NOTE_P_74</f>
        <v/>
      </c>
      <c r="K114" s="559"/>
      <c r="AF114" s="1647">
        <v>0</v>
      </c>
    </row>
    <row s="1651" customFormat="1" customHeight="1" ht="18.75" hidden="1">
      <c r="A115" s="2389" t="s">
        <v>747</v>
      </c>
      <c r="B115" s="926"/>
      <c r="C115" s="751"/>
      <c r="D115" s="749"/>
      <c r="E115" s="562" t="str">
        <f>FHD_NUM_P_75</f>
        <v/>
      </c>
      <c r="F115" s="1896" t="str">
        <f>FHD_P_75</f>
        <v/>
      </c>
      <c r="G115" s="1892" t="s">
        <v>711</v>
      </c>
      <c r="H115" s="573"/>
      <c r="I115" s="573"/>
      <c r="J115" s="305" t="str">
        <f>FHD_NOTE_P_75</f>
        <v/>
      </c>
      <c r="K115" s="750"/>
      <c r="L115" s="751"/>
      <c r="M115" s="751"/>
      <c r="N115" s="926"/>
      <c r="O115" s="926"/>
      <c r="P115" s="926"/>
      <c r="Q115" s="926"/>
      <c r="R115" s="751"/>
      <c r="S115" s="926"/>
      <c r="T115" s="926"/>
      <c r="U115" s="752"/>
      <c r="V115" s="926"/>
      <c r="W115" s="926"/>
      <c r="X115" s="926"/>
      <c r="Y115" s="926"/>
      <c r="Z115" s="926"/>
      <c r="AA115" s="753"/>
      <c r="AB115" s="753"/>
      <c r="AC115" s="753"/>
      <c r="AD115" s="753"/>
      <c r="AE115" s="753"/>
      <c r="AF115" s="755">
        <v>0</v>
      </c>
    </row>
    <row s="1651" customFormat="1" customHeight="1" ht="18.75" hidden="1">
      <c r="A116" s="2389"/>
      <c r="B116" s="926"/>
      <c r="C116" s="751"/>
      <c r="D116" s="749"/>
      <c r="E116" s="562" t="str">
        <f>FHD_NUM_P_76</f>
        <v/>
      </c>
      <c r="F116" s="1896" t="str">
        <f>FHD_P_76</f>
        <v/>
      </c>
      <c r="G116" s="1892" t="s">
        <v>711</v>
      </c>
      <c r="H116" s="573"/>
      <c r="I116" s="573"/>
      <c r="J116" s="305" t="str">
        <f>FHD_NOTE_P_76</f>
        <v/>
      </c>
      <c r="K116" s="750"/>
      <c r="L116" s="751"/>
      <c r="M116" s="751"/>
      <c r="N116" s="926"/>
      <c r="O116" s="926"/>
      <c r="P116" s="926"/>
      <c r="Q116" s="926"/>
      <c r="R116" s="751"/>
      <c r="S116" s="926"/>
      <c r="T116" s="926"/>
      <c r="U116" s="752"/>
      <c r="V116" s="926"/>
      <c r="W116" s="926"/>
      <c r="X116" s="926"/>
      <c r="Y116" s="926"/>
      <c r="Z116" s="926"/>
      <c r="AA116" s="753"/>
      <c r="AB116" s="753"/>
      <c r="AC116" s="753"/>
      <c r="AD116" s="753"/>
      <c r="AE116" s="753"/>
      <c r="AF116" s="755">
        <v>0</v>
      </c>
    </row>
    <row s="1651" customFormat="1" customHeight="1" ht="18.75" hidden="1">
      <c r="A117" s="2389"/>
      <c r="B117" s="926"/>
      <c r="C117" s="751"/>
      <c r="D117" s="749"/>
      <c r="E117" s="562" t="str">
        <f>FHD_NUM_P_77</f>
        <v/>
      </c>
      <c r="F117" s="1896" t="str">
        <f>FHD_P_77</f>
        <v/>
      </c>
      <c r="G117" s="1892" t="s">
        <v>711</v>
      </c>
      <c r="H117" s="573"/>
      <c r="I117" s="573"/>
      <c r="J117" s="305" t="str">
        <f>FHD_NOTE_P_77</f>
        <v/>
      </c>
      <c r="K117" s="750"/>
      <c r="L117" s="751"/>
      <c r="M117" s="751"/>
      <c r="N117" s="926"/>
      <c r="O117" s="926"/>
      <c r="P117" s="926"/>
      <c r="Q117" s="926"/>
      <c r="R117" s="751"/>
      <c r="S117" s="926"/>
      <c r="T117" s="926"/>
      <c r="U117" s="752"/>
      <c r="V117" s="926"/>
      <c r="W117" s="926"/>
      <c r="X117" s="926"/>
      <c r="Y117" s="926"/>
      <c r="Z117" s="926"/>
      <c r="AA117" s="753"/>
      <c r="AB117" s="753"/>
      <c r="AC117" s="753"/>
      <c r="AD117" s="753"/>
      <c r="AE117" s="753"/>
      <c r="AF117" s="755">
        <v>0</v>
      </c>
    </row>
    <row s="1658" customFormat="1" customHeight="1" ht="0.75" hidden="1">
      <c r="A118" s="2389"/>
      <c r="D118" s="564"/>
      <c r="E118" s="1029" t="str">
        <f>E117&amp;".0"</f>
        <v>.0</v>
      </c>
      <c r="F118" s="1013"/>
      <c r="G118" s="1667"/>
      <c r="H118" s="1008"/>
      <c r="I118" s="1008"/>
      <c r="J118" s="1012"/>
      <c r="AF118" s="1652">
        <v>0</v>
      </c>
    </row>
    <row s="1651" customFormat="1" customHeight="1" ht="15" hidden="1">
      <c r="A119" s="2389"/>
      <c r="B119" s="926"/>
      <c r="C119" s="751"/>
      <c r="D119" s="762"/>
      <c r="E119" s="989"/>
      <c r="F119" s="990" t="s">
        <v>748</v>
      </c>
      <c r="G119" s="763"/>
      <c r="H119" s="764"/>
      <c r="I119" s="764"/>
      <c r="J119" s="1019" t="s">
        <v>749</v>
      </c>
      <c r="K119" s="750"/>
      <c r="L119" s="751"/>
      <c r="M119" s="751"/>
      <c r="N119" s="926"/>
      <c r="O119" s="926"/>
      <c r="P119" s="926"/>
      <c r="Q119" s="926"/>
      <c r="R119" s="751"/>
      <c r="S119" s="926"/>
      <c r="T119" s="926"/>
      <c r="U119" s="752"/>
      <c r="V119" s="926"/>
      <c r="W119" s="926"/>
      <c r="X119" s="926"/>
      <c r="Y119" s="926"/>
      <c r="Z119" s="926"/>
      <c r="AA119" s="753"/>
      <c r="AB119" s="753"/>
      <c r="AC119" s="753"/>
      <c r="AD119" s="753"/>
      <c r="AE119" s="753"/>
      <c r="AF119" s="755">
        <v>0</v>
      </c>
    </row>
    <row customHeight="1" ht="22.5">
      <c r="A120" s="2387" t="s">
        <v>750</v>
      </c>
      <c r="D120" s="1654"/>
      <c r="E120" s="562" t="str">
        <f>FHD_NUM_P_78</f>
        <v>15</v>
      </c>
      <c r="F120" s="189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3" t="s">
        <v>713</v>
      </c>
      <c r="H120" s="593"/>
      <c r="I120" s="593"/>
      <c r="J120" s="305" t="str">
        <f>FHD_NOTE_P_78</f>
        <v/>
      </c>
      <c r="K120" s="559"/>
      <c r="AF120" s="1647">
        <v>0</v>
      </c>
    </row>
    <row s="1658" customFormat="1" customHeight="1" ht="0.75">
      <c r="A121" s="2387"/>
      <c r="D121" s="564"/>
      <c r="E121" s="1029" t="str">
        <f>E120&amp;".0"</f>
        <v>15.0</v>
      </c>
      <c r="F121" s="1013"/>
      <c r="G121" s="1667"/>
      <c r="H121" s="1008"/>
      <c r="I121" s="1008"/>
      <c r="J121" s="1012"/>
      <c r="AF121" s="1652">
        <v>0</v>
      </c>
    </row>
    <row customHeight="1" ht="15">
      <c r="A122" s="2387"/>
      <c r="D122" s="1649"/>
      <c r="E122" s="586"/>
      <c r="F122" s="1184" t="s">
        <v>739</v>
      </c>
      <c r="G122" s="588"/>
      <c r="H122" s="589"/>
      <c r="I122" s="589"/>
      <c r="J122" s="1020" t="s">
        <v>751</v>
      </c>
      <c r="K122" s="559"/>
      <c r="AF122" s="1647">
        <v>0</v>
      </c>
    </row>
    <row customHeight="1" ht="22.5">
      <c r="A123" s="2387"/>
      <c r="D123" s="1654"/>
      <c r="E123" s="562" t="str">
        <f>FHD_NUM_P_79</f>
        <v>16</v>
      </c>
      <c r="F123" s="189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4" t="s">
        <v>715</v>
      </c>
      <c r="H123" s="593"/>
      <c r="I123" s="593"/>
      <c r="J123" s="30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9"/>
      <c r="AF123" s="1647">
        <v>0</v>
      </c>
    </row>
    <row s="1658" customFormat="1" customHeight="1" ht="0.75">
      <c r="A124" s="2387"/>
      <c r="D124" s="564"/>
      <c r="E124" s="1029" t="str">
        <f>E123&amp;".0"</f>
        <v>16.0</v>
      </c>
      <c r="F124" s="1014"/>
      <c r="G124" s="1667"/>
      <c r="H124" s="1008"/>
      <c r="I124" s="1008"/>
      <c r="J124" s="1012"/>
      <c r="AF124" s="1652">
        <v>0</v>
      </c>
    </row>
    <row customHeight="1" ht="15">
      <c r="A125" s="2387"/>
      <c r="D125" s="1649"/>
      <c r="E125" s="586"/>
      <c r="F125" s="1184" t="s">
        <v>739</v>
      </c>
      <c r="G125" s="588"/>
      <c r="H125" s="589"/>
      <c r="I125" s="589"/>
      <c r="J125" s="1020" t="s">
        <v>752</v>
      </c>
      <c r="K125" s="559"/>
      <c r="AF125" s="1647">
        <v>0</v>
      </c>
    </row>
    <row customHeight="1" ht="22.5">
      <c r="A126" s="2387"/>
      <c r="D126" s="1654"/>
      <c r="E126" s="562" t="str">
        <f>FHD_NUM_P_80</f>
        <v>17</v>
      </c>
      <c r="F126" s="189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4" t="s">
        <v>753</v>
      </c>
      <c r="H126" s="573"/>
      <c r="I126" s="573"/>
      <c r="J126" s="305" t="str">
        <f>FHD_NOTE_P_80</f>
        <v>Регулируемыми организациями указывается информация с по договорам, заключенным в рамках осуществления регулируемой деятельности.</v>
      </c>
      <c r="K126" s="559"/>
      <c r="AF126" s="1647">
        <v>0</v>
      </c>
    </row>
    <row customHeight="1" ht="18.75">
      <c r="A127" s="2387"/>
      <c r="D127" s="1654"/>
      <c r="E127" s="562" t="str">
        <f>FHD_NUM_P_81</f>
        <v>18</v>
      </c>
      <c r="F127" s="189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4" t="s">
        <v>754</v>
      </c>
      <c r="H127" s="573"/>
      <c r="I127" s="573"/>
      <c r="J127" s="305" t="str">
        <f>FHD_NOTE_P_81</f>
        <v>Регулируемыми организациями указывается информация с по договорам, заключенным в рамках осуществления регулируемой деятельности.</v>
      </c>
      <c r="K127" s="559"/>
      <c r="AF127" s="1647">
        <v>0</v>
      </c>
    </row>
    <row customHeight="1" ht="18.75">
      <c r="A128" s="2387"/>
      <c r="C128" s="1652" t="s">
        <v>741</v>
      </c>
      <c r="D128" s="1654"/>
      <c r="E128" s="562" t="str">
        <f>FHD_NUM_P_82</f>
        <v>19</v>
      </c>
      <c r="F128" s="189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4" t="s">
        <v>459</v>
      </c>
      <c r="H128" s="417"/>
      <c r="I128" s="417"/>
      <c r="J128" s="305" t="str">
        <f>FHD_NOTE_P_82</f>
        <v>Указывается ссылка на документ, предварительно загруженный в хранилище файлов ФГИС ЕИАС.</v>
      </c>
      <c r="K128" s="559"/>
      <c r="AF128" s="1647">
        <v>0</v>
      </c>
    </row>
    <row customHeight="1" ht="18.75">
      <c r="A129" s="2387"/>
      <c r="C129" s="1652" t="s">
        <v>741</v>
      </c>
      <c r="D129" s="1654"/>
      <c r="E129" s="562" t="str">
        <f>FHD_NUM_P_83</f>
        <v>19.1</v>
      </c>
      <c r="F129" s="1540" t="str">
        <f>FHD_P_83</f>
        <v>Информация о показателях физического износа объектов теплоснабжения</v>
      </c>
      <c r="G129" s="1894" t="s">
        <v>459</v>
      </c>
      <c r="H129" s="417"/>
      <c r="I129" s="417"/>
      <c r="J129" s="305" t="str">
        <f>FHD_NOTE_P_83</f>
        <v>Указывается ссылка на документ, предварительно загруженный в хранилище файлов ФГИС ЕИАС.</v>
      </c>
      <c r="K129" s="559"/>
      <c r="AF129" s="1647">
        <v>0</v>
      </c>
    </row>
    <row customHeight="1" ht="18.75">
      <c r="A130" s="2387"/>
      <c r="C130" s="1652" t="s">
        <v>741</v>
      </c>
      <c r="D130" s="1654"/>
      <c r="E130" s="562" t="str">
        <f>FHD_NUM_P_84</f>
        <v>19.2</v>
      </c>
      <c r="F130" s="1540" t="str">
        <f>FHD_P_84</f>
        <v>Информация о показателях энергетической эффективности объектов теплоснабжения</v>
      </c>
      <c r="G130" s="1894" t="s">
        <v>459</v>
      </c>
      <c r="H130" s="417"/>
      <c r="I130" s="417"/>
      <c r="J130" s="305" t="str">
        <f>FHD_NOTE_P_84</f>
        <v>Указывается ссылка на документ, предварительно загруженный в хранилище файлов ФГИС ЕИАС.</v>
      </c>
      <c r="K130" s="559"/>
      <c r="AF130" s="1647">
        <v>0</v>
      </c>
    </row>
    <row customHeight="1" ht="11.549999999999999">
      <c r="D131" s="1654"/>
      <c r="AF131" s="1647">
        <v>11</v>
      </c>
    </row>
    <row customHeight="1" ht="13.5">
      <c r="D132" s="1654"/>
      <c r="E132" s="352"/>
      <c r="F132" s="385"/>
      <c r="G132" s="385"/>
      <c r="H132" s="385"/>
      <c r="I132" s="1663"/>
      <c r="J132" s="597"/>
      <c r="AF132" s="1647">
        <v>13</v>
      </c>
    </row>
    <row s="1657" customFormat="1" customHeight="1" ht="11.549999999999999">
      <c r="A133" s="1003"/>
      <c r="B133" s="1652"/>
      <c r="C133" s="1652"/>
      <c r="D133" s="367"/>
      <c r="F133" s="1656"/>
      <c r="G133" s="1647"/>
      <c r="H133" s="1647"/>
      <c r="I133" s="1647"/>
      <c r="K133" s="1176"/>
      <c r="L133" s="1652"/>
      <c r="M133" s="1652"/>
      <c r="N133" s="1176"/>
      <c r="O133" s="1176"/>
      <c r="P133" s="1176"/>
      <c r="Q133" s="1176"/>
      <c r="R133" s="1652"/>
      <c r="S133" s="1176"/>
      <c r="T133" s="1176"/>
      <c r="U133" s="560"/>
      <c r="V133" s="1176"/>
      <c r="W133" s="1176"/>
      <c r="X133" s="1176"/>
      <c r="Y133" s="1176"/>
      <c r="Z133" s="1176"/>
      <c r="AA133" s="1648"/>
      <c r="AB133" s="582"/>
      <c r="AC133" s="582"/>
      <c r="AD133" s="582"/>
      <c r="AE133" s="582"/>
      <c r="AF133" s="1657">
        <v>11</v>
      </c>
    </row>
    <row s="1657" customFormat="1" customHeight="1" ht="11.549999999999999">
      <c r="A134" s="1003"/>
      <c r="B134" s="1652"/>
      <c r="C134" s="1652"/>
      <c r="D134" s="367"/>
      <c r="K134" s="1176"/>
      <c r="L134" s="1652"/>
      <c r="M134" s="1652"/>
      <c r="N134" s="1176"/>
      <c r="O134" s="1176"/>
      <c r="P134" s="1176"/>
      <c r="Q134" s="1176"/>
      <c r="R134" s="1652"/>
      <c r="S134" s="1176"/>
      <c r="T134" s="1176"/>
      <c r="U134" s="560"/>
      <c r="V134" s="1176"/>
      <c r="W134" s="1176"/>
      <c r="X134" s="1176"/>
      <c r="Y134" s="1176"/>
      <c r="Z134" s="1176"/>
      <c r="AA134" s="1648"/>
      <c r="AB134" s="582"/>
      <c r="AC134" s="582"/>
      <c r="AD134" s="582"/>
      <c r="AE134" s="582"/>
      <c r="AF134" s="1657">
        <v>11</v>
      </c>
    </row>
    <row s="1657" customFormat="1" customHeight="1" ht="11.549999999999999">
      <c r="A135" s="1003"/>
      <c r="B135" s="1652"/>
      <c r="C135" s="1652"/>
      <c r="D135" s="367"/>
      <c r="K135" s="1176"/>
      <c r="L135" s="1652"/>
      <c r="M135" s="1652"/>
      <c r="N135" s="1176"/>
      <c r="O135" s="1176"/>
      <c r="P135" s="1176"/>
      <c r="Q135" s="1176"/>
      <c r="R135" s="1652"/>
      <c r="S135" s="1176"/>
      <c r="T135" s="1176"/>
      <c r="U135" s="560"/>
      <c r="V135" s="1176"/>
      <c r="W135" s="1176"/>
      <c r="X135" s="1176"/>
      <c r="Y135" s="1176"/>
      <c r="Z135" s="1176"/>
      <c r="AA135" s="1648"/>
      <c r="AB135" s="582"/>
      <c r="AC135" s="582"/>
      <c r="AD135" s="582"/>
      <c r="AE135" s="582"/>
      <c r="AF135" s="1657">
        <v>11</v>
      </c>
    </row>
    <row s="1657" customFormat="1" customHeight="1" ht="11.549999999999999">
      <c r="A136" s="1003"/>
      <c r="B136" s="1652"/>
      <c r="C136" s="1652"/>
      <c r="D136" s="367"/>
      <c r="H136" s="582" t="str">
        <f>IF(H30-H31&lt;&gt;H72,"WARNING","")</f>
        <v/>
      </c>
      <c r="I136" s="582" t="str">
        <f>IF(I30-I31&lt;&gt;I72,"WARNING","")</f>
        <v/>
      </c>
      <c r="K136" s="1176"/>
      <c r="L136" s="1652"/>
      <c r="M136" s="1652"/>
      <c r="N136" s="1176"/>
      <c r="O136" s="1176"/>
      <c r="P136" s="1176"/>
      <c r="Q136" s="1176"/>
      <c r="R136" s="1652"/>
      <c r="S136" s="1176"/>
      <c r="T136" s="1176"/>
      <c r="U136" s="560"/>
      <c r="V136" s="1176"/>
      <c r="W136" s="1176"/>
      <c r="X136" s="1176"/>
      <c r="Y136" s="1176"/>
      <c r="Z136" s="1176"/>
      <c r="AA136" s="1648"/>
      <c r="AB136" s="582"/>
      <c r="AC136" s="582"/>
      <c r="AD136" s="582"/>
      <c r="AE136" s="582"/>
      <c r="AF136" s="1657">
        <v>11</v>
      </c>
    </row>
    <row s="1657" customFormat="1" customHeight="1" ht="11.549999999999999">
      <c r="A137" s="1003"/>
      <c r="B137" s="1652"/>
      <c r="C137" s="1652"/>
      <c r="D137" s="367"/>
      <c r="K137" s="1176"/>
      <c r="L137" s="1652"/>
      <c r="M137" s="1652"/>
      <c r="N137" s="1176"/>
      <c r="O137" s="1176"/>
      <c r="P137" s="1176"/>
      <c r="Q137" s="1176"/>
      <c r="R137" s="1652"/>
      <c r="S137" s="1176"/>
      <c r="T137" s="1176"/>
      <c r="U137" s="560"/>
      <c r="V137" s="1176"/>
      <c r="W137" s="1176"/>
      <c r="X137" s="1176"/>
      <c r="Y137" s="1176"/>
      <c r="Z137" s="1176"/>
      <c r="AA137" s="1648"/>
      <c r="AB137" s="582"/>
      <c r="AC137" s="582"/>
      <c r="AD137" s="582"/>
      <c r="AE137" s="582"/>
      <c r="AF137" s="1657">
        <v>11</v>
      </c>
    </row>
    <row s="1657" customFormat="1" customHeight="1" ht="11.549999999999999">
      <c r="A138" s="1003"/>
      <c r="B138" s="1652"/>
      <c r="C138" s="1652"/>
      <c r="D138" s="367"/>
      <c r="K138" s="1176"/>
      <c r="L138" s="1652"/>
      <c r="M138" s="1652"/>
      <c r="N138" s="1176"/>
      <c r="O138" s="1176"/>
      <c r="P138" s="1176"/>
      <c r="Q138" s="1176"/>
      <c r="R138" s="1652"/>
      <c r="S138" s="1176"/>
      <c r="T138" s="1176"/>
      <c r="U138" s="560"/>
      <c r="V138" s="1176"/>
      <c r="W138" s="1176"/>
      <c r="X138" s="1176"/>
      <c r="Y138" s="1176"/>
      <c r="Z138" s="1176"/>
      <c r="AA138" s="1648"/>
      <c r="AB138" s="582"/>
      <c r="AC138" s="582"/>
      <c r="AD138" s="582"/>
      <c r="AE138" s="582"/>
      <c r="AF138" s="1657">
        <v>11</v>
      </c>
    </row>
    <row s="1657" customFormat="1" customHeight="1" ht="11.549999999999999">
      <c r="A139" s="1003"/>
      <c r="B139" s="1652"/>
      <c r="C139" s="1652"/>
      <c r="D139" s="367"/>
      <c r="K139" s="1176"/>
      <c r="L139" s="1652"/>
      <c r="M139" s="1652"/>
      <c r="N139" s="1176"/>
      <c r="O139" s="1176"/>
      <c r="P139" s="1176"/>
      <c r="Q139" s="1176"/>
      <c r="R139" s="1652"/>
      <c r="S139" s="1176"/>
      <c r="T139" s="1176"/>
      <c r="U139" s="560"/>
      <c r="V139" s="1176"/>
      <c r="W139" s="1176"/>
      <c r="X139" s="1176"/>
      <c r="Y139" s="1176"/>
      <c r="Z139" s="1176"/>
      <c r="AA139" s="1648"/>
      <c r="AB139" s="582"/>
      <c r="AC139" s="582"/>
      <c r="AD139" s="582"/>
      <c r="AE139" s="582"/>
      <c r="AF139" s="1657">
        <v>11</v>
      </c>
    </row>
    <row s="1657" customFormat="1" customHeight="1" ht="11.549999999999999">
      <c r="A140" s="1003"/>
      <c r="B140" s="1652"/>
      <c r="C140" s="1652"/>
      <c r="D140" s="367"/>
      <c r="K140" s="1176"/>
      <c r="L140" s="1652"/>
      <c r="M140" s="1652"/>
      <c r="N140" s="1176"/>
      <c r="O140" s="1176"/>
      <c r="P140" s="1176"/>
      <c r="Q140" s="1176"/>
      <c r="R140" s="1652"/>
      <c r="S140" s="1176"/>
      <c r="T140" s="1176"/>
      <c r="U140" s="560"/>
      <c r="V140" s="1176"/>
      <c r="W140" s="1176"/>
      <c r="X140" s="1176"/>
      <c r="Y140" s="1176"/>
      <c r="Z140" s="1176"/>
      <c r="AA140" s="1648"/>
      <c r="AB140" s="582"/>
      <c r="AC140" s="582"/>
      <c r="AD140" s="582"/>
      <c r="AE140" s="582"/>
      <c r="AF140" s="1657">
        <v>11</v>
      </c>
    </row>
    <row s="1657" customFormat="1" customHeight="1" ht="11.549999999999999">
      <c r="A141" s="1003"/>
      <c r="B141" s="1652"/>
      <c r="C141" s="1652"/>
      <c r="D141" s="367"/>
      <c r="K141" s="1176"/>
      <c r="L141" s="1652"/>
      <c r="M141" s="1652"/>
      <c r="N141" s="1176"/>
      <c r="O141" s="1176"/>
      <c r="P141" s="1176"/>
      <c r="Q141" s="1176"/>
      <c r="R141" s="1652"/>
      <c r="S141" s="1176"/>
      <c r="T141" s="1176"/>
      <c r="U141" s="560"/>
      <c r="V141" s="1176"/>
      <c r="W141" s="1176"/>
      <c r="X141" s="1176"/>
      <c r="Y141" s="1176"/>
      <c r="Z141" s="1176"/>
      <c r="AA141" s="1648"/>
      <c r="AB141" s="582"/>
      <c r="AC141" s="582"/>
      <c r="AD141" s="582"/>
      <c r="AE141" s="582"/>
      <c r="AF141" s="1657">
        <v>11</v>
      </c>
    </row>
    <row s="1657" customFormat="1" customHeight="1" ht="11.549999999999999">
      <c r="A142" s="1003"/>
      <c r="B142" s="1652"/>
      <c r="C142" s="1652"/>
      <c r="D142" s="367"/>
      <c r="K142" s="1176"/>
      <c r="L142" s="1652"/>
      <c r="M142" s="1652"/>
      <c r="N142" s="1176"/>
      <c r="O142" s="1176"/>
      <c r="P142" s="1176"/>
      <c r="Q142" s="1176"/>
      <c r="R142" s="1652"/>
      <c r="S142" s="1176"/>
      <c r="T142" s="1176"/>
      <c r="U142" s="560"/>
      <c r="V142" s="1176"/>
      <c r="W142" s="1176"/>
      <c r="X142" s="1176"/>
      <c r="Y142" s="1176"/>
      <c r="Z142" s="1176"/>
      <c r="AA142" s="1648"/>
      <c r="AB142" s="582"/>
      <c r="AC142" s="582"/>
      <c r="AD142" s="582"/>
      <c r="AE142" s="582"/>
      <c r="AF142" s="1657">
        <v>11</v>
      </c>
    </row>
    <row s="1657" customFormat="1" customHeight="1" ht="11.549999999999999">
      <c r="A143" s="1003"/>
      <c r="B143" s="1652"/>
      <c r="C143" s="1652"/>
      <c r="D143" s="367"/>
      <c r="K143" s="1176"/>
      <c r="L143" s="1652"/>
      <c r="M143" s="1652"/>
      <c r="N143" s="1176"/>
      <c r="O143" s="1176"/>
      <c r="P143" s="1176"/>
      <c r="Q143" s="1176"/>
      <c r="R143" s="1652"/>
      <c r="S143" s="1176"/>
      <c r="T143" s="1176"/>
      <c r="U143" s="560"/>
      <c r="V143" s="1176"/>
      <c r="W143" s="1176"/>
      <c r="X143" s="1176"/>
      <c r="Y143" s="1176"/>
      <c r="Z143" s="1176"/>
      <c r="AA143" s="1648"/>
      <c r="AB143" s="582"/>
      <c r="AC143" s="582"/>
      <c r="AD143" s="582"/>
      <c r="AE143" s="582"/>
      <c r="AF143" s="1657">
        <v>11</v>
      </c>
    </row>
    <row s="1657" customFormat="1" customHeight="1" ht="11.549999999999999">
      <c r="A144" s="1003"/>
      <c r="B144" s="1652"/>
      <c r="C144" s="1652"/>
      <c r="D144" s="367"/>
      <c r="K144" s="1176"/>
      <c r="L144" s="1652"/>
      <c r="M144" s="1652"/>
      <c r="N144" s="1176"/>
      <c r="O144" s="1176"/>
      <c r="P144" s="1176"/>
      <c r="Q144" s="1176"/>
      <c r="R144" s="1652"/>
      <c r="S144" s="1176"/>
      <c r="T144" s="1176"/>
      <c r="U144" s="560"/>
      <c r="V144" s="1176"/>
      <c r="W144" s="1176"/>
      <c r="X144" s="1176"/>
      <c r="Y144" s="1176"/>
      <c r="Z144" s="1176"/>
      <c r="AA144" s="1648"/>
      <c r="AB144" s="582"/>
      <c r="AC144" s="582"/>
      <c r="AD144" s="582"/>
      <c r="AE144" s="582"/>
      <c r="AF144" s="1657">
        <v>11</v>
      </c>
    </row>
    <row s="1657" customFormat="1" customHeight="1" ht="11.549999999999999">
      <c r="A145" s="1003"/>
      <c r="B145" s="1652"/>
      <c r="C145" s="1652"/>
      <c r="D145" s="367"/>
      <c r="K145" s="1176"/>
      <c r="L145" s="1652"/>
      <c r="M145" s="1652"/>
      <c r="N145" s="1176"/>
      <c r="O145" s="1176"/>
      <c r="P145" s="1176"/>
      <c r="Q145" s="1176"/>
      <c r="R145" s="1652"/>
      <c r="S145" s="1176"/>
      <c r="T145" s="1176"/>
      <c r="U145" s="560"/>
      <c r="V145" s="1176"/>
      <c r="W145" s="1176"/>
      <c r="X145" s="1176"/>
      <c r="Y145" s="1176"/>
      <c r="Z145" s="1176"/>
      <c r="AA145" s="1648"/>
      <c r="AB145" s="582"/>
      <c r="AC145" s="582"/>
      <c r="AD145" s="582"/>
      <c r="AE145" s="582"/>
      <c r="AF145" s="1657">
        <v>11</v>
      </c>
    </row>
    <row s="1657" customFormat="1" customHeight="1" ht="11.549999999999999">
      <c r="A146" s="1003"/>
      <c r="B146" s="1652"/>
      <c r="C146" s="1652"/>
      <c r="D146" s="367"/>
      <c r="K146" s="1176"/>
      <c r="L146" s="1652"/>
      <c r="M146" s="1652"/>
      <c r="N146" s="1176"/>
      <c r="O146" s="1176"/>
      <c r="P146" s="1176"/>
      <c r="Q146" s="1176"/>
      <c r="R146" s="1652"/>
      <c r="S146" s="1176"/>
      <c r="T146" s="1176"/>
      <c r="U146" s="560"/>
      <c r="V146" s="1176"/>
      <c r="W146" s="1176"/>
      <c r="X146" s="1176"/>
      <c r="Y146" s="1176"/>
      <c r="Z146" s="1176"/>
      <c r="AA146" s="1648"/>
      <c r="AB146" s="582"/>
      <c r="AC146" s="582"/>
      <c r="AD146" s="582"/>
      <c r="AE146" s="582"/>
      <c r="AF146" s="1657">
        <v>11</v>
      </c>
    </row>
    <row s="1657" customFormat="1" customHeight="1" ht="11.549999999999999">
      <c r="A147" s="1003"/>
      <c r="B147" s="1652"/>
      <c r="C147" s="1652"/>
      <c r="D147" s="367"/>
      <c r="K147" s="1176"/>
      <c r="L147" s="1652"/>
      <c r="M147" s="1652"/>
      <c r="N147" s="1176"/>
      <c r="O147" s="1176"/>
      <c r="P147" s="1176"/>
      <c r="Q147" s="1176"/>
      <c r="R147" s="1652"/>
      <c r="S147" s="1176"/>
      <c r="T147" s="1176"/>
      <c r="U147" s="560"/>
      <c r="V147" s="1176"/>
      <c r="W147" s="1176"/>
      <c r="X147" s="1176"/>
      <c r="Y147" s="1176"/>
      <c r="Z147" s="1176"/>
      <c r="AA147" s="1648"/>
      <c r="AB147" s="582"/>
      <c r="AC147" s="582"/>
      <c r="AD147" s="582"/>
      <c r="AE147" s="582"/>
      <c r="AF147" s="1657">
        <v>11</v>
      </c>
    </row>
    <row s="1657" customFormat="1" customHeight="1" ht="11.549999999999999">
      <c r="A148" s="1003"/>
      <c r="B148" s="1652"/>
      <c r="C148" s="1652"/>
      <c r="D148" s="367"/>
      <c r="K148" s="1176"/>
      <c r="L148" s="1652"/>
      <c r="M148" s="1652"/>
      <c r="N148" s="1176"/>
      <c r="O148" s="1176"/>
      <c r="P148" s="1176"/>
      <c r="Q148" s="1176"/>
      <c r="R148" s="1652"/>
      <c r="S148" s="1176"/>
      <c r="T148" s="1176"/>
      <c r="U148" s="560"/>
      <c r="V148" s="1176"/>
      <c r="W148" s="1176"/>
      <c r="X148" s="1176"/>
      <c r="Y148" s="1176"/>
      <c r="Z148" s="1176"/>
      <c r="AA148" s="1648"/>
      <c r="AB148" s="582"/>
      <c r="AC148" s="582"/>
      <c r="AD148" s="582"/>
      <c r="AE148" s="582"/>
      <c r="AF148" s="1657">
        <v>11</v>
      </c>
    </row>
    <row s="1657" customFormat="1" customHeight="1" ht="11.549999999999999">
      <c r="A149" s="1003"/>
      <c r="B149" s="1652"/>
      <c r="C149" s="1652"/>
      <c r="D149" s="367"/>
      <c r="K149" s="1176"/>
      <c r="L149" s="1652"/>
      <c r="M149" s="1652"/>
      <c r="N149" s="1176"/>
      <c r="O149" s="1176"/>
      <c r="P149" s="1176"/>
      <c r="Q149" s="1176"/>
      <c r="R149" s="1652"/>
      <c r="S149" s="1176"/>
      <c r="T149" s="1176"/>
      <c r="U149" s="560"/>
      <c r="V149" s="1176"/>
      <c r="W149" s="1176"/>
      <c r="X149" s="1176"/>
      <c r="Y149" s="1176"/>
      <c r="Z149" s="1176"/>
      <c r="AA149" s="1648"/>
      <c r="AB149" s="582"/>
      <c r="AC149" s="582"/>
      <c r="AD149" s="582"/>
      <c r="AE149" s="582"/>
      <c r="AF149" s="1657">
        <v>11</v>
      </c>
    </row>
    <row s="1657" customFormat="1" customHeight="1" ht="11.549999999999999">
      <c r="A150" s="1003"/>
      <c r="B150" s="1652"/>
      <c r="C150" s="1652"/>
      <c r="D150" s="367"/>
      <c r="K150" s="1176"/>
      <c r="L150" s="1652"/>
      <c r="M150" s="1652"/>
      <c r="N150" s="1176"/>
      <c r="O150" s="1176"/>
      <c r="P150" s="1176"/>
      <c r="Q150" s="1176"/>
      <c r="R150" s="1652"/>
      <c r="S150" s="1176"/>
      <c r="T150" s="1176"/>
      <c r="U150" s="560"/>
      <c r="V150" s="1176"/>
      <c r="W150" s="1176"/>
      <c r="X150" s="1176"/>
      <c r="Y150" s="1176"/>
      <c r="Z150" s="1176"/>
      <c r="AA150" s="1648"/>
      <c r="AB150" s="582"/>
      <c r="AC150" s="582"/>
      <c r="AD150" s="582"/>
      <c r="AE150" s="582"/>
      <c r="AF150" s="1657">
        <v>11</v>
      </c>
    </row>
    <row s="1657" customFormat="1" customHeight="1" ht="11.549999999999999">
      <c r="A151" s="1003"/>
      <c r="B151" s="1652"/>
      <c r="C151" s="1652"/>
      <c r="D151" s="367"/>
      <c r="K151" s="1176"/>
      <c r="L151" s="1652"/>
      <c r="M151" s="1652"/>
      <c r="N151" s="1176"/>
      <c r="O151" s="1176"/>
      <c r="P151" s="1176"/>
      <c r="Q151" s="1176"/>
      <c r="R151" s="1652"/>
      <c r="S151" s="1176"/>
      <c r="T151" s="1176"/>
      <c r="U151" s="560"/>
      <c r="V151" s="1176"/>
      <c r="W151" s="1176"/>
      <c r="X151" s="1176"/>
      <c r="Y151" s="1176"/>
      <c r="Z151" s="1176"/>
      <c r="AA151" s="1648"/>
      <c r="AB151" s="582"/>
      <c r="AC151" s="582"/>
      <c r="AD151" s="582"/>
      <c r="AE151" s="582"/>
      <c r="AF151" s="1657">
        <v>11</v>
      </c>
    </row>
    <row s="1657" customFormat="1" customHeight="1" ht="11.549999999999999">
      <c r="A152" s="1003"/>
      <c r="B152" s="1652"/>
      <c r="C152" s="1652"/>
      <c r="D152" s="367"/>
      <c r="K152" s="1176"/>
      <c r="L152" s="1652"/>
      <c r="M152" s="1652"/>
      <c r="N152" s="1176"/>
      <c r="O152" s="1176"/>
      <c r="P152" s="1176"/>
      <c r="Q152" s="1176"/>
      <c r="R152" s="1652"/>
      <c r="S152" s="1176"/>
      <c r="T152" s="1176"/>
      <c r="U152" s="560"/>
      <c r="V152" s="1176"/>
      <c r="W152" s="1176"/>
      <c r="X152" s="1176"/>
      <c r="Y152" s="1176"/>
      <c r="Z152" s="1176"/>
      <c r="AA152" s="1648"/>
      <c r="AB152" s="582"/>
      <c r="AC152" s="582"/>
      <c r="AD152" s="582"/>
      <c r="AE152" s="582"/>
      <c r="AF152" s="1657">
        <v>11</v>
      </c>
    </row>
    <row s="1657" customFormat="1" customHeight="1" ht="11.549999999999999">
      <c r="A153" s="1003"/>
      <c r="B153" s="1652"/>
      <c r="C153" s="1652"/>
      <c r="D153" s="367"/>
      <c r="K153" s="1176"/>
      <c r="L153" s="1652"/>
      <c r="M153" s="1652"/>
      <c r="N153" s="1176"/>
      <c r="O153" s="1176"/>
      <c r="P153" s="1176"/>
      <c r="Q153" s="1176"/>
      <c r="R153" s="1652"/>
      <c r="S153" s="1176"/>
      <c r="T153" s="1176"/>
      <c r="U153" s="560"/>
      <c r="V153" s="1176"/>
      <c r="W153" s="1176"/>
      <c r="X153" s="1176"/>
      <c r="Y153" s="1176"/>
      <c r="Z153" s="1176"/>
      <c r="AA153" s="1648"/>
      <c r="AB153" s="582"/>
      <c r="AC153" s="582"/>
      <c r="AD153" s="582"/>
      <c r="AE153" s="582"/>
      <c r="AF153" s="1657">
        <v>11</v>
      </c>
    </row>
    <row s="1657" customFormat="1" customHeight="1" ht="11.549999999999999">
      <c r="A154" s="1003"/>
      <c r="B154" s="1652"/>
      <c r="C154" s="1652"/>
      <c r="D154" s="367"/>
      <c r="K154" s="1176"/>
      <c r="L154" s="1652"/>
      <c r="M154" s="1652"/>
      <c r="N154" s="1176"/>
      <c r="O154" s="1176"/>
      <c r="P154" s="1176"/>
      <c r="Q154" s="1176"/>
      <c r="R154" s="1652"/>
      <c r="S154" s="1176"/>
      <c r="T154" s="1176"/>
      <c r="U154" s="560"/>
      <c r="V154" s="1176"/>
      <c r="W154" s="1176"/>
      <c r="X154" s="1176"/>
      <c r="Y154" s="1176"/>
      <c r="Z154" s="1176"/>
      <c r="AA154" s="1648"/>
      <c r="AB154" s="582"/>
      <c r="AC154" s="582"/>
      <c r="AD154" s="582"/>
      <c r="AE154" s="582"/>
      <c r="AF154" s="1657">
        <v>11</v>
      </c>
    </row>
    <row s="1657" customFormat="1" customHeight="1" ht="11.549999999999999">
      <c r="A155" s="1003"/>
      <c r="B155" s="1652"/>
      <c r="C155" s="1652"/>
      <c r="D155" s="367"/>
      <c r="K155" s="1176"/>
      <c r="L155" s="1652"/>
      <c r="M155" s="1652"/>
      <c r="N155" s="1176"/>
      <c r="O155" s="1176"/>
      <c r="P155" s="1176"/>
      <c r="Q155" s="1176"/>
      <c r="R155" s="1652"/>
      <c r="S155" s="1176"/>
      <c r="T155" s="1176"/>
      <c r="U155" s="560"/>
      <c r="V155" s="1176"/>
      <c r="W155" s="1176"/>
      <c r="X155" s="1176"/>
      <c r="Y155" s="1176"/>
      <c r="Z155" s="1176"/>
      <c r="AA155" s="1648"/>
      <c r="AB155" s="582"/>
      <c r="AC155" s="582"/>
      <c r="AD155" s="582"/>
      <c r="AE155" s="582"/>
      <c r="AF155" s="1657">
        <v>11</v>
      </c>
    </row>
    <row s="1657" customFormat="1" customHeight="1" ht="11.549999999999999">
      <c r="A156" s="1003"/>
      <c r="B156" s="1652"/>
      <c r="C156" s="1652"/>
      <c r="D156" s="367"/>
      <c r="K156" s="1176"/>
      <c r="L156" s="1652"/>
      <c r="M156" s="1652"/>
      <c r="N156" s="1176"/>
      <c r="O156" s="1176"/>
      <c r="P156" s="1176"/>
      <c r="Q156" s="1176"/>
      <c r="R156" s="1652"/>
      <c r="S156" s="1176"/>
      <c r="T156" s="1176"/>
      <c r="U156" s="560"/>
      <c r="V156" s="1176"/>
      <c r="W156" s="1176"/>
      <c r="X156" s="1176"/>
      <c r="Y156" s="1176"/>
      <c r="Z156" s="1176"/>
      <c r="AA156" s="1648"/>
      <c r="AB156" s="582"/>
      <c r="AC156" s="582"/>
      <c r="AD156" s="582"/>
      <c r="AE156" s="582"/>
      <c r="AF156" s="1657">
        <v>11</v>
      </c>
    </row>
    <row s="1657" customFormat="1" customHeight="1" ht="11.549999999999999">
      <c r="A157" s="1003"/>
      <c r="B157" s="1652"/>
      <c r="C157" s="1652"/>
      <c r="D157" s="367"/>
      <c r="K157" s="1176"/>
      <c r="L157" s="1652"/>
      <c r="M157" s="1652"/>
      <c r="N157" s="1176"/>
      <c r="O157" s="1176"/>
      <c r="P157" s="1176"/>
      <c r="Q157" s="1176"/>
      <c r="R157" s="1652"/>
      <c r="S157" s="1176"/>
      <c r="T157" s="1176"/>
      <c r="U157" s="560"/>
      <c r="V157" s="1176"/>
      <c r="W157" s="1176"/>
      <c r="X157" s="1176"/>
      <c r="Y157" s="1176"/>
      <c r="Z157" s="1176"/>
      <c r="AA157" s="1648"/>
      <c r="AB157" s="582"/>
      <c r="AC157" s="582"/>
      <c r="AD157" s="582"/>
      <c r="AE157" s="582"/>
      <c r="AF157" s="1657">
        <v>11</v>
      </c>
    </row>
    <row s="1657" customFormat="1" customHeight="1" ht="11.549999999999999">
      <c r="A158" s="1003"/>
      <c r="B158" s="1652"/>
      <c r="C158" s="1652"/>
      <c r="D158" s="367"/>
      <c r="K158" s="1176"/>
      <c r="L158" s="1652"/>
      <c r="M158" s="1652"/>
      <c r="N158" s="1176"/>
      <c r="O158" s="1176"/>
      <c r="P158" s="1176"/>
      <c r="Q158" s="1176"/>
      <c r="R158" s="1652"/>
      <c r="S158" s="1176"/>
      <c r="T158" s="1176"/>
      <c r="U158" s="560"/>
      <c r="V158" s="1176"/>
      <c r="W158" s="1176"/>
      <c r="X158" s="1176"/>
      <c r="Y158" s="1176"/>
      <c r="Z158" s="1176"/>
      <c r="AA158" s="1648"/>
      <c r="AB158" s="582"/>
      <c r="AC158" s="582"/>
      <c r="AD158" s="582"/>
      <c r="AE158" s="582"/>
      <c r="AF158" s="1657">
        <v>11</v>
      </c>
    </row>
    <row s="1657" customFormat="1" customHeight="1" ht="11.549999999999999">
      <c r="A159" s="1003"/>
      <c r="B159" s="1652"/>
      <c r="C159" s="1652"/>
      <c r="D159" s="367"/>
      <c r="K159" s="1176"/>
      <c r="L159" s="1652"/>
      <c r="M159" s="1652"/>
      <c r="N159" s="1176"/>
      <c r="O159" s="1176"/>
      <c r="P159" s="1176"/>
      <c r="Q159" s="1176"/>
      <c r="R159" s="1652"/>
      <c r="S159" s="1176"/>
      <c r="T159" s="1176"/>
      <c r="U159" s="560"/>
      <c r="V159" s="1176"/>
      <c r="W159" s="1176"/>
      <c r="X159" s="1176"/>
      <c r="Y159" s="1176"/>
      <c r="Z159" s="1176"/>
      <c r="AA159" s="1648"/>
      <c r="AB159" s="582"/>
      <c r="AC159" s="582"/>
      <c r="AD159" s="582"/>
      <c r="AE159" s="582"/>
      <c r="AF159" s="1657">
        <v>11</v>
      </c>
    </row>
    <row s="1657" customFormat="1" customHeight="1" ht="11.549999999999999">
      <c r="A160" s="1003"/>
      <c r="B160" s="1652"/>
      <c r="C160" s="1652"/>
      <c r="D160" s="367"/>
      <c r="K160" s="1176"/>
      <c r="L160" s="1652"/>
      <c r="M160" s="1652"/>
      <c r="N160" s="1176"/>
      <c r="O160" s="1176"/>
      <c r="P160" s="1176"/>
      <c r="Q160" s="1176"/>
      <c r="R160" s="1652"/>
      <c r="S160" s="1176"/>
      <c r="T160" s="1176"/>
      <c r="U160" s="560"/>
      <c r="V160" s="1176"/>
      <c r="W160" s="1176"/>
      <c r="X160" s="1176"/>
      <c r="Y160" s="1176"/>
      <c r="Z160" s="1176"/>
      <c r="AA160" s="1648"/>
      <c r="AB160" s="582"/>
      <c r="AC160" s="582"/>
      <c r="AD160" s="582"/>
      <c r="AE160" s="582"/>
      <c r="AF160" s="1657">
        <v>11</v>
      </c>
    </row>
    <row s="1657" customFormat="1" customHeight="1" ht="11.549999999999999">
      <c r="A161" s="1003"/>
      <c r="B161" s="1652"/>
      <c r="C161" s="1652"/>
      <c r="D161" s="367"/>
      <c r="K161" s="1176"/>
      <c r="L161" s="1652"/>
      <c r="M161" s="1652"/>
      <c r="N161" s="1176"/>
      <c r="O161" s="1176"/>
      <c r="P161" s="1176"/>
      <c r="Q161" s="1176"/>
      <c r="R161" s="1652"/>
      <c r="S161" s="1176"/>
      <c r="T161" s="1176"/>
      <c r="U161" s="560"/>
      <c r="V161" s="1176"/>
      <c r="W161" s="1176"/>
      <c r="X161" s="1176"/>
      <c r="Y161" s="1176"/>
      <c r="Z161" s="1176"/>
      <c r="AA161" s="1648"/>
      <c r="AB161" s="582"/>
      <c r="AC161" s="582"/>
      <c r="AD161" s="582"/>
      <c r="AE161" s="582"/>
      <c r="AF161" s="1657">
        <v>11</v>
      </c>
    </row>
    <row s="1657" customFormat="1" customHeight="1" ht="11.549999999999999">
      <c r="A162" s="1003"/>
      <c r="B162" s="1652"/>
      <c r="C162" s="1652"/>
      <c r="D162" s="367"/>
      <c r="K162" s="1176"/>
      <c r="L162" s="1652"/>
      <c r="M162" s="1652"/>
      <c r="N162" s="1176"/>
      <c r="O162" s="1176"/>
      <c r="P162" s="1176"/>
      <c r="Q162" s="1176"/>
      <c r="R162" s="1652"/>
      <c r="S162" s="1176"/>
      <c r="T162" s="1176"/>
      <c r="U162" s="560"/>
      <c r="V162" s="1176"/>
      <c r="W162" s="1176"/>
      <c r="X162" s="1176"/>
      <c r="Y162" s="1176"/>
      <c r="Z162" s="1176"/>
      <c r="AA162" s="1648"/>
      <c r="AB162" s="582"/>
      <c r="AC162" s="582"/>
      <c r="AD162" s="582"/>
      <c r="AE162" s="582"/>
      <c r="AF162" s="1657">
        <v>11</v>
      </c>
    </row>
    <row s="1657" customFormat="1" customHeight="1" ht="11.549999999999999">
      <c r="A163" s="1003"/>
      <c r="B163" s="1652"/>
      <c r="C163" s="1652"/>
      <c r="D163" s="367"/>
      <c r="K163" s="1176"/>
      <c r="L163" s="1652"/>
      <c r="M163" s="1652"/>
      <c r="N163" s="1176"/>
      <c r="O163" s="1176"/>
      <c r="P163" s="1176"/>
      <c r="Q163" s="1176"/>
      <c r="R163" s="1652"/>
      <c r="S163" s="1176"/>
      <c r="T163" s="1176"/>
      <c r="U163" s="560"/>
      <c r="V163" s="1176"/>
      <c r="W163" s="1176"/>
      <c r="X163" s="1176"/>
      <c r="Y163" s="1176"/>
      <c r="Z163" s="1176"/>
      <c r="AA163" s="1648"/>
      <c r="AB163" s="582"/>
      <c r="AC163" s="582"/>
      <c r="AD163" s="582"/>
      <c r="AE163" s="582"/>
      <c r="AF163" s="1657">
        <v>11</v>
      </c>
    </row>
    <row s="1657" customFormat="1" customHeight="1" ht="11.549999999999999">
      <c r="A164" s="1003"/>
      <c r="B164" s="1652"/>
      <c r="C164" s="1652"/>
      <c r="D164" s="367"/>
      <c r="K164" s="1176"/>
      <c r="L164" s="1652"/>
      <c r="M164" s="1652"/>
      <c r="N164" s="1176"/>
      <c r="O164" s="1176"/>
      <c r="P164" s="1176"/>
      <c r="Q164" s="1176"/>
      <c r="R164" s="1652"/>
      <c r="S164" s="1176"/>
      <c r="T164" s="1176"/>
      <c r="U164" s="560"/>
      <c r="V164" s="1176"/>
      <c r="W164" s="1176"/>
      <c r="X164" s="1176"/>
      <c r="Y164" s="1176"/>
      <c r="Z164" s="1176"/>
      <c r="AA164" s="1648"/>
      <c r="AB164" s="582"/>
      <c r="AC164" s="582"/>
      <c r="AD164" s="582"/>
      <c r="AE164" s="582"/>
      <c r="AF164" s="1657">
        <v>11</v>
      </c>
    </row>
    <row s="1657" customFormat="1" customHeight="1" ht="11.549999999999999">
      <c r="A165" s="1003"/>
      <c r="B165" s="1652"/>
      <c r="C165" s="1652"/>
      <c r="D165" s="367"/>
      <c r="K165" s="1176"/>
      <c r="L165" s="1652"/>
      <c r="M165" s="1652"/>
      <c r="N165" s="1176"/>
      <c r="O165" s="1176"/>
      <c r="P165" s="1176"/>
      <c r="Q165" s="1176"/>
      <c r="R165" s="1652"/>
      <c r="S165" s="1176"/>
      <c r="T165" s="1176"/>
      <c r="U165" s="560"/>
      <c r="V165" s="1176"/>
      <c r="W165" s="1176"/>
      <c r="X165" s="1176"/>
      <c r="Y165" s="1176"/>
      <c r="Z165" s="1176"/>
      <c r="AA165" s="1648"/>
      <c r="AB165" s="582"/>
      <c r="AC165" s="582"/>
      <c r="AD165" s="582"/>
      <c r="AE165" s="582"/>
      <c r="AF165" s="1657">
        <v>11</v>
      </c>
    </row>
    <row s="1657" customFormat="1" customHeight="1" ht="11.549999999999999">
      <c r="A166" s="1003"/>
      <c r="B166" s="1652"/>
      <c r="C166" s="1652"/>
      <c r="D166" s="367"/>
      <c r="K166" s="1176"/>
      <c r="L166" s="1652"/>
      <c r="M166" s="1652"/>
      <c r="N166" s="1176"/>
      <c r="O166" s="1176"/>
      <c r="P166" s="1176"/>
      <c r="Q166" s="1176"/>
      <c r="R166" s="1652"/>
      <c r="S166" s="1176"/>
      <c r="T166" s="1176"/>
      <c r="U166" s="560"/>
      <c r="V166" s="1176"/>
      <c r="W166" s="1176"/>
      <c r="X166" s="1176"/>
      <c r="Y166" s="1176"/>
      <c r="Z166" s="1176"/>
      <c r="AA166" s="1648"/>
      <c r="AB166" s="582"/>
      <c r="AC166" s="582"/>
      <c r="AD166" s="582"/>
      <c r="AE166" s="582"/>
      <c r="AF166" s="1657">
        <v>11</v>
      </c>
    </row>
    <row s="1657" customFormat="1" customHeight="1" ht="11.549999999999999">
      <c r="A167" s="1003"/>
      <c r="B167" s="1652"/>
      <c r="C167" s="1652"/>
      <c r="D167" s="367"/>
      <c r="K167" s="1176"/>
      <c r="L167" s="1652"/>
      <c r="M167" s="1652"/>
      <c r="N167" s="1176"/>
      <c r="O167" s="1176"/>
      <c r="P167" s="1176"/>
      <c r="Q167" s="1176"/>
      <c r="R167" s="1652"/>
      <c r="S167" s="1176"/>
      <c r="T167" s="1176"/>
      <c r="U167" s="560"/>
      <c r="V167" s="1176"/>
      <c r="W167" s="1176"/>
      <c r="X167" s="1176"/>
      <c r="Y167" s="1176"/>
      <c r="Z167" s="1176"/>
      <c r="AA167" s="1648"/>
      <c r="AB167" s="582"/>
      <c r="AC167" s="582"/>
      <c r="AD167" s="582"/>
      <c r="AE167" s="582"/>
      <c r="AF167" s="1657">
        <v>11</v>
      </c>
    </row>
    <row s="1657" customFormat="1" customHeight="1" ht="11.549999999999999">
      <c r="A168" s="1003"/>
      <c r="B168" s="1652"/>
      <c r="C168" s="1652"/>
      <c r="D168" s="367"/>
      <c r="K168" s="1176"/>
      <c r="L168" s="1652"/>
      <c r="M168" s="1652"/>
      <c r="N168" s="1176"/>
      <c r="O168" s="1176"/>
      <c r="P168" s="1176"/>
      <c r="Q168" s="1176"/>
      <c r="R168" s="1652"/>
      <c r="S168" s="1176"/>
      <c r="T168" s="1176"/>
      <c r="U168" s="560"/>
      <c r="V168" s="1176"/>
      <c r="W168" s="1176"/>
      <c r="X168" s="1176"/>
      <c r="Y168" s="1176"/>
      <c r="Z168" s="1176"/>
      <c r="AA168" s="1648"/>
      <c r="AB168" s="582"/>
      <c r="AC168" s="582"/>
      <c r="AD168" s="582"/>
      <c r="AE168" s="582"/>
      <c r="AF168" s="1657">
        <v>11</v>
      </c>
    </row>
    <row s="1657" customFormat="1" customHeight="1" ht="11.549999999999999">
      <c r="A169" s="1003"/>
      <c r="B169" s="1652"/>
      <c r="C169" s="1652"/>
      <c r="D169" s="367"/>
      <c r="K169" s="1176"/>
      <c r="L169" s="1652"/>
      <c r="M169" s="1652"/>
      <c r="N169" s="1176"/>
      <c r="O169" s="1176"/>
      <c r="P169" s="1176"/>
      <c r="Q169" s="1176"/>
      <c r="R169" s="1652"/>
      <c r="S169" s="1176"/>
      <c r="T169" s="1176"/>
      <c r="U169" s="560"/>
      <c r="V169" s="1176"/>
      <c r="W169" s="1176"/>
      <c r="X169" s="1176"/>
      <c r="Y169" s="1176"/>
      <c r="Z169" s="1176"/>
      <c r="AA169" s="1648"/>
      <c r="AB169" s="582"/>
      <c r="AC169" s="582"/>
      <c r="AD169" s="582"/>
      <c r="AE169" s="582"/>
      <c r="AF169" s="1657">
        <v>11</v>
      </c>
    </row>
    <row s="1657" customFormat="1" customHeight="1" ht="11.549999999999999">
      <c r="A170" s="1003"/>
      <c r="B170" s="1652"/>
      <c r="C170" s="1652"/>
      <c r="D170" s="367"/>
      <c r="K170" s="1176"/>
      <c r="L170" s="1652"/>
      <c r="M170" s="1652"/>
      <c r="N170" s="1176"/>
      <c r="O170" s="1176"/>
      <c r="P170" s="1176"/>
      <c r="Q170" s="1176"/>
      <c r="R170" s="1652"/>
      <c r="S170" s="1176"/>
      <c r="T170" s="1176"/>
      <c r="U170" s="560"/>
      <c r="V170" s="1176"/>
      <c r="W170" s="1176"/>
      <c r="X170" s="1176"/>
      <c r="Y170" s="1176"/>
      <c r="Z170" s="1176"/>
      <c r="AA170" s="1648"/>
      <c r="AB170" s="582"/>
      <c r="AC170" s="582"/>
      <c r="AD170" s="582"/>
      <c r="AE170" s="582"/>
      <c r="AF170" s="1657">
        <v>11</v>
      </c>
    </row>
    <row s="1657" customFormat="1" customHeight="1" ht="11.549999999999999">
      <c r="A171" s="1003"/>
      <c r="B171" s="1652"/>
      <c r="C171" s="1652"/>
      <c r="D171" s="367"/>
      <c r="K171" s="1176"/>
      <c r="L171" s="1652"/>
      <c r="M171" s="1652"/>
      <c r="N171" s="1176"/>
      <c r="O171" s="1176"/>
      <c r="P171" s="1176"/>
      <c r="Q171" s="1176"/>
      <c r="R171" s="1652"/>
      <c r="S171" s="1176"/>
      <c r="T171" s="1176"/>
      <c r="U171" s="560"/>
      <c r="V171" s="1176"/>
      <c r="W171" s="1176"/>
      <c r="X171" s="1176"/>
      <c r="Y171" s="1176"/>
      <c r="Z171" s="1176"/>
      <c r="AA171" s="1648"/>
      <c r="AB171" s="582"/>
      <c r="AC171" s="582"/>
      <c r="AD171" s="582"/>
      <c r="AE171" s="582"/>
      <c r="AF171" s="1657">
        <v>11</v>
      </c>
    </row>
    <row s="1657" customFormat="1" customHeight="1" ht="11.549999999999999">
      <c r="A172" s="1003"/>
      <c r="B172" s="1652"/>
      <c r="C172" s="1652"/>
      <c r="D172" s="367"/>
      <c r="K172" s="1176"/>
      <c r="L172" s="1652"/>
      <c r="M172" s="1652"/>
      <c r="N172" s="1176"/>
      <c r="O172" s="1176"/>
      <c r="P172" s="1176"/>
      <c r="Q172" s="1176"/>
      <c r="R172" s="1652"/>
      <c r="S172" s="1176"/>
      <c r="T172" s="1176"/>
      <c r="U172" s="560"/>
      <c r="V172" s="1176"/>
      <c r="W172" s="1176"/>
      <c r="X172" s="1176"/>
      <c r="Y172" s="1176"/>
      <c r="Z172" s="1176"/>
      <c r="AA172" s="1648"/>
      <c r="AB172" s="582"/>
      <c r="AC172" s="582"/>
      <c r="AD172" s="582"/>
      <c r="AE172" s="582"/>
      <c r="AF172" s="1657">
        <v>11</v>
      </c>
    </row>
    <row s="1657" customFormat="1" customHeight="1" ht="11.549999999999999">
      <c r="A173" s="1003"/>
      <c r="B173" s="1652"/>
      <c r="C173" s="1652"/>
      <c r="D173" s="367"/>
      <c r="K173" s="1176"/>
      <c r="L173" s="1652"/>
      <c r="M173" s="1652"/>
      <c r="N173" s="1176"/>
      <c r="O173" s="1176"/>
      <c r="P173" s="1176"/>
      <c r="Q173" s="1176"/>
      <c r="R173" s="1652"/>
      <c r="S173" s="1176"/>
      <c r="T173" s="1176"/>
      <c r="U173" s="560"/>
      <c r="V173" s="1176"/>
      <c r="W173" s="1176"/>
      <c r="X173" s="1176"/>
      <c r="Y173" s="1176"/>
      <c r="Z173" s="1176"/>
      <c r="AA173" s="1648"/>
      <c r="AB173" s="582"/>
      <c r="AC173" s="582"/>
      <c r="AD173" s="582"/>
      <c r="AE173" s="582"/>
      <c r="AF173" s="1657">
        <v>11</v>
      </c>
    </row>
    <row s="1657" customFormat="1" customHeight="1" ht="11.549999999999999">
      <c r="A174" s="1003"/>
      <c r="B174" s="1652"/>
      <c r="C174" s="1652"/>
      <c r="D174" s="367"/>
      <c r="K174" s="1176"/>
      <c r="L174" s="1652"/>
      <c r="M174" s="1652"/>
      <c r="N174" s="1176"/>
      <c r="O174" s="1176"/>
      <c r="P174" s="1176"/>
      <c r="Q174" s="1176"/>
      <c r="R174" s="1652"/>
      <c r="S174" s="1176"/>
      <c r="T174" s="1176"/>
      <c r="U174" s="560"/>
      <c r="V174" s="1176"/>
      <c r="W174" s="1176"/>
      <c r="X174" s="1176"/>
      <c r="Y174" s="1176"/>
      <c r="Z174" s="1176"/>
      <c r="AA174" s="1648"/>
      <c r="AB174" s="582"/>
      <c r="AC174" s="582"/>
      <c r="AD174" s="582"/>
      <c r="AE174" s="582"/>
      <c r="AF174" s="1657">
        <v>11</v>
      </c>
    </row>
    <row s="1657" customFormat="1" customHeight="1" ht="11.549999999999999">
      <c r="A175" s="1003"/>
      <c r="B175" s="1652"/>
      <c r="C175" s="1652"/>
      <c r="D175" s="367"/>
      <c r="K175" s="1176"/>
      <c r="L175" s="1652"/>
      <c r="M175" s="1652"/>
      <c r="N175" s="1176"/>
      <c r="O175" s="1176"/>
      <c r="P175" s="1176"/>
      <c r="Q175" s="1176"/>
      <c r="R175" s="1652"/>
      <c r="S175" s="1176"/>
      <c r="T175" s="1176"/>
      <c r="U175" s="560"/>
      <c r="V175" s="1176"/>
      <c r="W175" s="1176"/>
      <c r="X175" s="1176"/>
      <c r="Y175" s="1176"/>
      <c r="Z175" s="1176"/>
      <c r="AA175" s="1648"/>
      <c r="AB175" s="582"/>
      <c r="AC175" s="582"/>
      <c r="AD175" s="582"/>
      <c r="AE175" s="582"/>
      <c r="AF175" s="1657">
        <v>11</v>
      </c>
    </row>
    <row s="1657" customFormat="1" customHeight="1" ht="11.549999999999999">
      <c r="A176" s="1003"/>
      <c r="B176" s="1652"/>
      <c r="C176" s="1652"/>
      <c r="D176" s="367"/>
      <c r="K176" s="1176"/>
      <c r="L176" s="1652"/>
      <c r="M176" s="1652"/>
      <c r="N176" s="1176"/>
      <c r="O176" s="1176"/>
      <c r="P176" s="1176"/>
      <c r="Q176" s="1176"/>
      <c r="R176" s="1652"/>
      <c r="S176" s="1176"/>
      <c r="T176" s="1176"/>
      <c r="U176" s="560"/>
      <c r="V176" s="1176"/>
      <c r="W176" s="1176"/>
      <c r="X176" s="1176"/>
      <c r="Y176" s="1176"/>
      <c r="Z176" s="1176"/>
      <c r="AA176" s="1648"/>
      <c r="AB176" s="582"/>
      <c r="AC176" s="582"/>
      <c r="AD176" s="582"/>
      <c r="AE176" s="582"/>
      <c r="AF176" s="1657">
        <v>11</v>
      </c>
    </row>
    <row s="1657" customFormat="1" customHeight="1" ht="11.549999999999999">
      <c r="A177" s="1003"/>
      <c r="B177" s="1652"/>
      <c r="C177" s="1652"/>
      <c r="D177" s="367"/>
      <c r="K177" s="1176"/>
      <c r="L177" s="1652"/>
      <c r="M177" s="1652"/>
      <c r="N177" s="1176"/>
      <c r="O177" s="1176"/>
      <c r="P177" s="1176"/>
      <c r="Q177" s="1176"/>
      <c r="R177" s="1652"/>
      <c r="S177" s="1176"/>
      <c r="T177" s="1176"/>
      <c r="U177" s="560"/>
      <c r="V177" s="1176"/>
      <c r="W177" s="1176"/>
      <c r="X177" s="1176"/>
      <c r="Y177" s="1176"/>
      <c r="Z177" s="1176"/>
      <c r="AA177" s="1648"/>
      <c r="AB177" s="582"/>
      <c r="AC177" s="582"/>
      <c r="AD177" s="582"/>
      <c r="AE177" s="582"/>
      <c r="AF177" s="1657">
        <v>11</v>
      </c>
    </row>
    <row s="1657" customFormat="1" customHeight="1" ht="11.549999999999999">
      <c r="A178" s="1003"/>
      <c r="B178" s="1652"/>
      <c r="C178" s="1652"/>
      <c r="D178" s="367"/>
      <c r="K178" s="1176"/>
      <c r="L178" s="1652"/>
      <c r="M178" s="1652"/>
      <c r="N178" s="1176"/>
      <c r="O178" s="1176"/>
      <c r="P178" s="1176"/>
      <c r="Q178" s="1176"/>
      <c r="R178" s="1652"/>
      <c r="S178" s="1176"/>
      <c r="T178" s="1176"/>
      <c r="U178" s="560"/>
      <c r="V178" s="1176"/>
      <c r="W178" s="1176"/>
      <c r="X178" s="1176"/>
      <c r="Y178" s="1176"/>
      <c r="Z178" s="1176"/>
      <c r="AA178" s="1648"/>
      <c r="AB178" s="582"/>
      <c r="AC178" s="582"/>
      <c r="AD178" s="582"/>
      <c r="AE178" s="582"/>
      <c r="AF178" s="1657">
        <v>11</v>
      </c>
    </row>
    <row s="1657" customFormat="1" customHeight="1" ht="11.549999999999999">
      <c r="A179" s="1003"/>
      <c r="B179" s="1652"/>
      <c r="C179" s="1652"/>
      <c r="D179" s="367"/>
      <c r="K179" s="1176"/>
      <c r="L179" s="1652"/>
      <c r="M179" s="1652"/>
      <c r="N179" s="1176"/>
      <c r="O179" s="1176"/>
      <c r="P179" s="1176"/>
      <c r="Q179" s="1176"/>
      <c r="R179" s="1652"/>
      <c r="S179" s="1176"/>
      <c r="T179" s="1176"/>
      <c r="U179" s="560"/>
      <c r="V179" s="1176"/>
      <c r="W179" s="1176"/>
      <c r="X179" s="1176"/>
      <c r="Y179" s="1176"/>
      <c r="Z179" s="1176"/>
      <c r="AA179" s="1648"/>
      <c r="AB179" s="582"/>
      <c r="AC179" s="582"/>
      <c r="AD179" s="582"/>
      <c r="AE179" s="582"/>
      <c r="AF179" s="1657">
        <v>11</v>
      </c>
    </row>
    <row s="1657" customFormat="1" customHeight="1" ht="11.549999999999999">
      <c r="A180" s="1003"/>
      <c r="B180" s="1652"/>
      <c r="C180" s="1652"/>
      <c r="D180" s="367"/>
      <c r="K180" s="1176"/>
      <c r="L180" s="1652"/>
      <c r="M180" s="1652"/>
      <c r="N180" s="1176"/>
      <c r="O180" s="1176"/>
      <c r="P180" s="1176"/>
      <c r="Q180" s="1176"/>
      <c r="R180" s="1652"/>
      <c r="S180" s="1176"/>
      <c r="T180" s="1176"/>
      <c r="U180" s="560"/>
      <c r="V180" s="1176"/>
      <c r="W180" s="1176"/>
      <c r="X180" s="1176"/>
      <c r="Y180" s="1176"/>
      <c r="Z180" s="1176"/>
      <c r="AA180" s="1648"/>
      <c r="AB180" s="582"/>
      <c r="AC180" s="582"/>
      <c r="AD180" s="582"/>
      <c r="AE180" s="582"/>
      <c r="AF180" s="1657">
        <v>11</v>
      </c>
    </row>
    <row s="1657" customFormat="1" customHeight="1" ht="11.549999999999999">
      <c r="A181" s="1003"/>
      <c r="B181" s="1652"/>
      <c r="C181" s="1652"/>
      <c r="D181" s="367"/>
      <c r="K181" s="1176"/>
      <c r="L181" s="1652"/>
      <c r="M181" s="1652"/>
      <c r="N181" s="1176"/>
      <c r="O181" s="1176"/>
      <c r="P181" s="1176"/>
      <c r="Q181" s="1176"/>
      <c r="R181" s="1652"/>
      <c r="S181" s="1176"/>
      <c r="T181" s="1176"/>
      <c r="U181" s="560"/>
      <c r="V181" s="1176"/>
      <c r="W181" s="1176"/>
      <c r="X181" s="1176"/>
      <c r="Y181" s="1176"/>
      <c r="Z181" s="1176"/>
      <c r="AA181" s="1648"/>
      <c r="AB181" s="582"/>
      <c r="AC181" s="582"/>
      <c r="AD181" s="582"/>
      <c r="AE181" s="582"/>
      <c r="AF181" s="1657">
        <v>11</v>
      </c>
    </row>
    <row s="1657" customFormat="1" customHeight="1" ht="11.549999999999999">
      <c r="A182" s="1003"/>
      <c r="B182" s="1652"/>
      <c r="C182" s="1652"/>
      <c r="D182" s="367"/>
      <c r="K182" s="1176"/>
      <c r="L182" s="1652"/>
      <c r="M182" s="1652"/>
      <c r="N182" s="1176"/>
      <c r="O182" s="1176"/>
      <c r="P182" s="1176"/>
      <c r="Q182" s="1176"/>
      <c r="R182" s="1652"/>
      <c r="S182" s="1176"/>
      <c r="T182" s="1176"/>
      <c r="U182" s="560"/>
      <c r="V182" s="1176"/>
      <c r="W182" s="1176"/>
      <c r="X182" s="1176"/>
      <c r="Y182" s="1176"/>
      <c r="Z182" s="1176"/>
      <c r="AA182" s="1648"/>
      <c r="AB182" s="582"/>
      <c r="AC182" s="582"/>
      <c r="AD182" s="582"/>
      <c r="AE182" s="582"/>
      <c r="AF182" s="1657">
        <v>11</v>
      </c>
    </row>
    <row s="1657" customFormat="1" customHeight="1" ht="11.549999999999999">
      <c r="A183" s="1003"/>
      <c r="B183" s="1652"/>
      <c r="C183" s="1652"/>
      <c r="D183" s="367"/>
      <c r="K183" s="1176"/>
      <c r="L183" s="1652"/>
      <c r="M183" s="1652"/>
      <c r="N183" s="1176"/>
      <c r="O183" s="1176"/>
      <c r="P183" s="1176"/>
      <c r="Q183" s="1176"/>
      <c r="R183" s="1652"/>
      <c r="S183" s="1176"/>
      <c r="T183" s="1176"/>
      <c r="U183" s="560"/>
      <c r="V183" s="1176"/>
      <c r="W183" s="1176"/>
      <c r="X183" s="1176"/>
      <c r="Y183" s="1176"/>
      <c r="Z183" s="1176"/>
      <c r="AA183" s="1648"/>
      <c r="AB183" s="582"/>
      <c r="AC183" s="582"/>
      <c r="AD183" s="582"/>
      <c r="AE183" s="582"/>
      <c r="AF183" s="1657">
        <v>11</v>
      </c>
    </row>
    <row s="1657" customFormat="1" customHeight="1" ht="11.549999999999999">
      <c r="A184" s="1003"/>
      <c r="B184" s="1652"/>
      <c r="C184" s="1652"/>
      <c r="D184" s="367"/>
      <c r="K184" s="1176"/>
      <c r="L184" s="1652"/>
      <c r="M184" s="1652"/>
      <c r="N184" s="1176"/>
      <c r="O184" s="1176"/>
      <c r="P184" s="1176"/>
      <c r="Q184" s="1176"/>
      <c r="R184" s="1652"/>
      <c r="S184" s="1176"/>
      <c r="T184" s="1176"/>
      <c r="U184" s="560"/>
      <c r="V184" s="1176"/>
      <c r="W184" s="1176"/>
      <c r="X184" s="1176"/>
      <c r="Y184" s="1176"/>
      <c r="Z184" s="1176"/>
      <c r="AA184" s="1648"/>
      <c r="AB184" s="582"/>
      <c r="AC184" s="582"/>
      <c r="AD184" s="582"/>
      <c r="AE184" s="582"/>
      <c r="AF184" s="1657">
        <v>11</v>
      </c>
    </row>
    <row s="1657" customFormat="1" customHeight="1" ht="11.549999999999999">
      <c r="A185" s="1003"/>
      <c r="B185" s="1652"/>
      <c r="C185" s="1652"/>
      <c r="D185" s="367"/>
      <c r="K185" s="1176"/>
      <c r="L185" s="1652"/>
      <c r="M185" s="1652"/>
      <c r="N185" s="1176"/>
      <c r="O185" s="1176"/>
      <c r="P185" s="1176"/>
      <c r="Q185" s="1176"/>
      <c r="R185" s="1652"/>
      <c r="S185" s="1176"/>
      <c r="T185" s="1176"/>
      <c r="U185" s="560"/>
      <c r="V185" s="1176"/>
      <c r="W185" s="1176"/>
      <c r="X185" s="1176"/>
      <c r="Y185" s="1176"/>
      <c r="Z185" s="1176"/>
      <c r="AA185" s="1648"/>
      <c r="AB185" s="582"/>
      <c r="AC185" s="582"/>
      <c r="AD185" s="582"/>
      <c r="AE185" s="582"/>
      <c r="AF185" s="1657">
        <v>11</v>
      </c>
    </row>
    <row s="1657" customFormat="1" customHeight="1" ht="11.549999999999999">
      <c r="A186" s="1003"/>
      <c r="B186" s="1652"/>
      <c r="C186" s="1652"/>
      <c r="D186" s="367"/>
      <c r="K186" s="1176"/>
      <c r="L186" s="1652"/>
      <c r="M186" s="1652"/>
      <c r="N186" s="1176"/>
      <c r="O186" s="1176"/>
      <c r="P186" s="1176"/>
      <c r="Q186" s="1176"/>
      <c r="R186" s="1652"/>
      <c r="S186" s="1176"/>
      <c r="T186" s="1176"/>
      <c r="U186" s="560"/>
      <c r="V186" s="1176"/>
      <c r="W186" s="1176"/>
      <c r="X186" s="1176"/>
      <c r="Y186" s="1176"/>
      <c r="Z186" s="1176"/>
      <c r="AA186" s="1648"/>
      <c r="AB186" s="582"/>
      <c r="AC186" s="582"/>
      <c r="AD186" s="582"/>
      <c r="AE186" s="582"/>
      <c r="AF186" s="1657">
        <v>11</v>
      </c>
    </row>
    <row s="1657" customFormat="1" customHeight="1" ht="11.549999999999999">
      <c r="A187" s="1003"/>
      <c r="B187" s="1652"/>
      <c r="C187" s="1652"/>
      <c r="D187" s="367"/>
      <c r="K187" s="1176"/>
      <c r="L187" s="1652"/>
      <c r="M187" s="1652"/>
      <c r="N187" s="1176"/>
      <c r="O187" s="1176"/>
      <c r="P187" s="1176"/>
      <c r="Q187" s="1176"/>
      <c r="R187" s="1652"/>
      <c r="S187" s="1176"/>
      <c r="T187" s="1176"/>
      <c r="U187" s="560"/>
      <c r="V187" s="1176"/>
      <c r="W187" s="1176"/>
      <c r="X187" s="1176"/>
      <c r="Y187" s="1176"/>
      <c r="Z187" s="1176"/>
      <c r="AA187" s="1648"/>
      <c r="AB187" s="582"/>
      <c r="AC187" s="582"/>
      <c r="AD187" s="582"/>
      <c r="AE187" s="582"/>
      <c r="AF187" s="1657">
        <v>11</v>
      </c>
    </row>
    <row s="1657" customFormat="1" customHeight="1" ht="11.549999999999999">
      <c r="A188" s="1003"/>
      <c r="B188" s="1652"/>
      <c r="C188" s="1652"/>
      <c r="D188" s="367"/>
      <c r="K188" s="1176"/>
      <c r="L188" s="1652"/>
      <c r="M188" s="1652"/>
      <c r="N188" s="1176"/>
      <c r="O188" s="1176"/>
      <c r="P188" s="1176"/>
      <c r="Q188" s="1176"/>
      <c r="R188" s="1652"/>
      <c r="S188" s="1176"/>
      <c r="T188" s="1176"/>
      <c r="U188" s="560"/>
      <c r="V188" s="1176"/>
      <c r="W188" s="1176"/>
      <c r="X188" s="1176"/>
      <c r="Y188" s="1176"/>
      <c r="Z188" s="1176"/>
      <c r="AA188" s="1648"/>
      <c r="AB188" s="582"/>
      <c r="AC188" s="582"/>
      <c r="AD188" s="582"/>
      <c r="AE188" s="582"/>
      <c r="AF188" s="1657">
        <v>11</v>
      </c>
    </row>
    <row s="1657" customFormat="1" customHeight="1" ht="11.549999999999999">
      <c r="A189" s="1003"/>
      <c r="B189" s="1652"/>
      <c r="C189" s="1652"/>
      <c r="D189" s="367"/>
      <c r="K189" s="1176"/>
      <c r="L189" s="1652"/>
      <c r="M189" s="1652"/>
      <c r="N189" s="1176"/>
      <c r="O189" s="1176"/>
      <c r="P189" s="1176"/>
      <c r="Q189" s="1176"/>
      <c r="R189" s="1652"/>
      <c r="S189" s="1176"/>
      <c r="T189" s="1176"/>
      <c r="U189" s="560"/>
      <c r="V189" s="1176"/>
      <c r="W189" s="1176"/>
      <c r="X189" s="1176"/>
      <c r="Y189" s="1176"/>
      <c r="Z189" s="1176"/>
      <c r="AA189" s="1648"/>
      <c r="AB189" s="582"/>
      <c r="AC189" s="582"/>
      <c r="AD189" s="582"/>
      <c r="AE189" s="582"/>
      <c r="AF189" s="1657">
        <v>11</v>
      </c>
    </row>
    <row s="1657" customFormat="1" customHeight="1" ht="11.549999999999999">
      <c r="A190" s="1003"/>
      <c r="B190" s="1652"/>
      <c r="C190" s="1652"/>
      <c r="D190" s="367"/>
      <c r="K190" s="1176"/>
      <c r="L190" s="1652"/>
      <c r="M190" s="1652"/>
      <c r="N190" s="1176"/>
      <c r="O190" s="1176"/>
      <c r="P190" s="1176"/>
      <c r="Q190" s="1176"/>
      <c r="R190" s="1652"/>
      <c r="S190" s="1176"/>
      <c r="T190" s="1176"/>
      <c r="U190" s="560"/>
      <c r="V190" s="1176"/>
      <c r="W190" s="1176"/>
      <c r="X190" s="1176"/>
      <c r="Y190" s="1176"/>
      <c r="Z190" s="1176"/>
      <c r="AA190" s="1648"/>
      <c r="AB190" s="582"/>
      <c r="AC190" s="582"/>
      <c r="AD190" s="582"/>
      <c r="AE190" s="582"/>
      <c r="AF190" s="1657">
        <v>11</v>
      </c>
    </row>
    <row s="1657" customFormat="1" customHeight="1" ht="11.549999999999999">
      <c r="A191" s="1003"/>
      <c r="B191" s="1652"/>
      <c r="C191" s="1652"/>
      <c r="D191" s="367"/>
      <c r="K191" s="1176"/>
      <c r="L191" s="1652"/>
      <c r="M191" s="1652"/>
      <c r="N191" s="1176"/>
      <c r="O191" s="1176"/>
      <c r="P191" s="1176"/>
      <c r="Q191" s="1176"/>
      <c r="R191" s="1652"/>
      <c r="S191" s="1176"/>
      <c r="T191" s="1176"/>
      <c r="U191" s="560"/>
      <c r="V191" s="1176"/>
      <c r="W191" s="1176"/>
      <c r="X191" s="1176"/>
      <c r="Y191" s="1176"/>
      <c r="Z191" s="1176"/>
      <c r="AA191" s="1648"/>
      <c r="AB191" s="582"/>
      <c r="AC191" s="582"/>
      <c r="AD191" s="582"/>
      <c r="AE191" s="582"/>
      <c r="AF191" s="1657">
        <v>11</v>
      </c>
    </row>
    <row s="1657" customFormat="1" customHeight="1" ht="11.549999999999999">
      <c r="A192" s="1003"/>
      <c r="B192" s="1652"/>
      <c r="C192" s="1652"/>
      <c r="D192" s="367"/>
      <c r="K192" s="1176"/>
      <c r="L192" s="1652"/>
      <c r="M192" s="1652"/>
      <c r="N192" s="1176"/>
      <c r="O192" s="1176"/>
      <c r="P192" s="1176"/>
      <c r="Q192" s="1176"/>
      <c r="R192" s="1652"/>
      <c r="S192" s="1176"/>
      <c r="T192" s="1176"/>
      <c r="U192" s="560"/>
      <c r="V192" s="1176"/>
      <c r="W192" s="1176"/>
      <c r="X192" s="1176"/>
      <c r="Y192" s="1176"/>
      <c r="Z192" s="1176"/>
      <c r="AA192" s="1648"/>
      <c r="AB192" s="582"/>
      <c r="AC192" s="582"/>
      <c r="AD192" s="582"/>
      <c r="AE192" s="582"/>
      <c r="AF192" s="1657">
        <v>11</v>
      </c>
    </row>
    <row s="1657" customFormat="1" customHeight="1" ht="11.549999999999999">
      <c r="A193" s="1003"/>
      <c r="B193" s="1652"/>
      <c r="C193" s="1652"/>
      <c r="D193" s="367"/>
      <c r="K193" s="1176"/>
      <c r="L193" s="1652"/>
      <c r="M193" s="1652"/>
      <c r="N193" s="1176"/>
      <c r="O193" s="1176"/>
      <c r="P193" s="1176"/>
      <c r="Q193" s="1176"/>
      <c r="R193" s="1652"/>
      <c r="S193" s="1176"/>
      <c r="T193" s="1176"/>
      <c r="U193" s="560"/>
      <c r="V193" s="1176"/>
      <c r="W193" s="1176"/>
      <c r="X193" s="1176"/>
      <c r="Y193" s="1176"/>
      <c r="Z193" s="1176"/>
      <c r="AA193" s="1648"/>
      <c r="AB193" s="582"/>
      <c r="AC193" s="582"/>
      <c r="AD193" s="582"/>
      <c r="AE193" s="582"/>
      <c r="AF193" s="1657">
        <v>11</v>
      </c>
    </row>
    <row s="1657" customFormat="1" customHeight="1" ht="11.549999999999999">
      <c r="A194" s="1003"/>
      <c r="B194" s="1652"/>
      <c r="C194" s="1652"/>
      <c r="D194" s="367"/>
      <c r="K194" s="1176"/>
      <c r="L194" s="1652"/>
      <c r="M194" s="1652"/>
      <c r="N194" s="1176"/>
      <c r="O194" s="1176"/>
      <c r="P194" s="1176"/>
      <c r="Q194" s="1176"/>
      <c r="R194" s="1652"/>
      <c r="S194" s="1176"/>
      <c r="T194" s="1176"/>
      <c r="U194" s="560"/>
      <c r="V194" s="1176"/>
      <c r="W194" s="1176"/>
      <c r="X194" s="1176"/>
      <c r="Y194" s="1176"/>
      <c r="Z194" s="1176"/>
      <c r="AA194" s="1648"/>
      <c r="AB194" s="582"/>
      <c r="AC194" s="582"/>
      <c r="AD194" s="582"/>
      <c r="AE194" s="582"/>
      <c r="AF194" s="1657">
        <v>11</v>
      </c>
    </row>
    <row s="1657" customFormat="1" customHeight="1" ht="11.549999999999999">
      <c r="A195" s="1003"/>
      <c r="B195" s="1652"/>
      <c r="C195" s="1652"/>
      <c r="D195" s="367"/>
      <c r="K195" s="1176"/>
      <c r="L195" s="1652"/>
      <c r="M195" s="1652"/>
      <c r="N195" s="1176"/>
      <c r="O195" s="1176"/>
      <c r="P195" s="1176"/>
      <c r="Q195" s="1176"/>
      <c r="R195" s="1652"/>
      <c r="S195" s="1176"/>
      <c r="T195" s="1176"/>
      <c r="U195" s="560"/>
      <c r="V195" s="1176"/>
      <c r="W195" s="1176"/>
      <c r="X195" s="1176"/>
      <c r="Y195" s="1176"/>
      <c r="Z195" s="1176"/>
      <c r="AA195" s="1648"/>
      <c r="AB195" s="582"/>
      <c r="AC195" s="582"/>
      <c r="AD195" s="582"/>
      <c r="AE195" s="582"/>
      <c r="AF195" s="1657">
        <v>11</v>
      </c>
    </row>
    <row s="1657" customFormat="1" customHeight="1" ht="11.549999999999999">
      <c r="A196" s="1003"/>
      <c r="B196" s="1652"/>
      <c r="C196" s="1652"/>
      <c r="D196" s="367"/>
      <c r="K196" s="1176"/>
      <c r="L196" s="1652"/>
      <c r="M196" s="1652"/>
      <c r="N196" s="1176"/>
      <c r="O196" s="1176"/>
      <c r="P196" s="1176"/>
      <c r="Q196" s="1176"/>
      <c r="R196" s="1652"/>
      <c r="S196" s="1176"/>
      <c r="T196" s="1176"/>
      <c r="U196" s="560"/>
      <c r="V196" s="1176"/>
      <c r="W196" s="1176"/>
      <c r="X196" s="1176"/>
      <c r="Y196" s="1176"/>
      <c r="Z196" s="1176"/>
      <c r="AA196" s="1648"/>
      <c r="AB196" s="582"/>
      <c r="AC196" s="582"/>
      <c r="AD196" s="582"/>
      <c r="AE196" s="582"/>
      <c r="AF196" s="1657">
        <v>11</v>
      </c>
    </row>
    <row s="1657" customFormat="1" customHeight="1" ht="11.549999999999999">
      <c r="A197" s="1003"/>
      <c r="B197" s="1652"/>
      <c r="C197" s="1652"/>
      <c r="D197" s="367"/>
      <c r="K197" s="1176"/>
      <c r="L197" s="1652"/>
      <c r="M197" s="1652"/>
      <c r="N197" s="1176"/>
      <c r="O197" s="1176"/>
      <c r="P197" s="1176"/>
      <c r="Q197" s="1176"/>
      <c r="R197" s="1652"/>
      <c r="S197" s="1176"/>
      <c r="T197" s="1176"/>
      <c r="U197" s="560"/>
      <c r="V197" s="1176"/>
      <c r="W197" s="1176"/>
      <c r="X197" s="1176"/>
      <c r="Y197" s="1176"/>
      <c r="Z197" s="1176"/>
      <c r="AA197" s="1648"/>
      <c r="AB197" s="582"/>
      <c r="AC197" s="582"/>
      <c r="AD197" s="582"/>
      <c r="AE197" s="582"/>
      <c r="AF197" s="1657">
        <v>11</v>
      </c>
    </row>
    <row s="1657" customFormat="1" customHeight="1" ht="11.549999999999999">
      <c r="A198" s="1003"/>
      <c r="B198" s="1652"/>
      <c r="C198" s="1652"/>
      <c r="D198" s="367"/>
      <c r="K198" s="1176"/>
      <c r="L198" s="1652"/>
      <c r="M198" s="1652"/>
      <c r="N198" s="1176"/>
      <c r="O198" s="1176"/>
      <c r="P198" s="1176"/>
      <c r="Q198" s="1176"/>
      <c r="R198" s="1652"/>
      <c r="S198" s="1176"/>
      <c r="T198" s="1176"/>
      <c r="U198" s="560"/>
      <c r="V198" s="1176"/>
      <c r="W198" s="1176"/>
      <c r="X198" s="1176"/>
      <c r="Y198" s="1176"/>
      <c r="Z198" s="1176"/>
      <c r="AA198" s="1648"/>
      <c r="AB198" s="582"/>
      <c r="AC198" s="582"/>
      <c r="AD198" s="582"/>
      <c r="AE198" s="582"/>
      <c r="AF198" s="1657">
        <v>11</v>
      </c>
    </row>
    <row s="1657" customFormat="1" customHeight="1" ht="11.549999999999999">
      <c r="A199" s="1003"/>
      <c r="B199" s="1652"/>
      <c r="C199" s="1652"/>
      <c r="D199" s="367"/>
      <c r="K199" s="1176"/>
      <c r="L199" s="1652"/>
      <c r="M199" s="1652"/>
      <c r="N199" s="1176"/>
      <c r="O199" s="1176"/>
      <c r="P199" s="1176"/>
      <c r="Q199" s="1176"/>
      <c r="R199" s="1652"/>
      <c r="S199" s="1176"/>
      <c r="T199" s="1176"/>
      <c r="U199" s="560"/>
      <c r="V199" s="1176"/>
      <c r="W199" s="1176"/>
      <c r="X199" s="1176"/>
      <c r="Y199" s="1176"/>
      <c r="Z199" s="1176"/>
      <c r="AA199" s="1648"/>
      <c r="AB199" s="582"/>
      <c r="AC199" s="582"/>
      <c r="AD199" s="582"/>
      <c r="AE199" s="582"/>
      <c r="AF199" s="1657">
        <v>11</v>
      </c>
    </row>
    <row s="1657" customFormat="1" customHeight="1" ht="11.549999999999999">
      <c r="A200" s="1003"/>
      <c r="B200" s="1652"/>
      <c r="C200" s="1652"/>
      <c r="D200" s="367"/>
      <c r="K200" s="1176"/>
      <c r="L200" s="1652"/>
      <c r="M200" s="1652"/>
      <c r="N200" s="1176"/>
      <c r="O200" s="1176"/>
      <c r="P200" s="1176"/>
      <c r="Q200" s="1176"/>
      <c r="R200" s="1652"/>
      <c r="S200" s="1176"/>
      <c r="T200" s="1176"/>
      <c r="U200" s="560"/>
      <c r="V200" s="1176"/>
      <c r="W200" s="1176"/>
      <c r="X200" s="1176"/>
      <c r="Y200" s="1176"/>
      <c r="Z200" s="1176"/>
      <c r="AA200" s="1648"/>
      <c r="AB200" s="582"/>
      <c r="AC200" s="582"/>
      <c r="AD200" s="582"/>
      <c r="AE200" s="582"/>
      <c r="AF200" s="1657">
        <v>11</v>
      </c>
    </row>
    <row s="1657" customFormat="1" customHeight="1" ht="11.549999999999999">
      <c r="A201" s="1003"/>
      <c r="B201" s="1652"/>
      <c r="C201" s="1652"/>
      <c r="D201" s="367"/>
      <c r="K201" s="1176"/>
      <c r="L201" s="1652"/>
      <c r="M201" s="1652"/>
      <c r="N201" s="1176"/>
      <c r="O201" s="1176"/>
      <c r="P201" s="1176"/>
      <c r="Q201" s="1176"/>
      <c r="R201" s="1652"/>
      <c r="S201" s="1176"/>
      <c r="T201" s="1176"/>
      <c r="U201" s="560"/>
      <c r="V201" s="1176"/>
      <c r="W201" s="1176"/>
      <c r="X201" s="1176"/>
      <c r="Y201" s="1176"/>
      <c r="Z201" s="1176"/>
      <c r="AA201" s="1648"/>
      <c r="AB201" s="582"/>
      <c r="AC201" s="582"/>
      <c r="AD201" s="582"/>
      <c r="AE201" s="582"/>
      <c r="AF201" s="1657">
        <v>11</v>
      </c>
    </row>
    <row s="1657" customFormat="1" customHeight="1" ht="11.549999999999999">
      <c r="A202" s="1003"/>
      <c r="B202" s="1652"/>
      <c r="C202" s="1652"/>
      <c r="D202" s="367"/>
      <c r="K202" s="1176"/>
      <c r="L202" s="1652"/>
      <c r="M202" s="1652"/>
      <c r="N202" s="1176"/>
      <c r="O202" s="1176"/>
      <c r="P202" s="1176"/>
      <c r="Q202" s="1176"/>
      <c r="R202" s="1652"/>
      <c r="S202" s="1176"/>
      <c r="T202" s="1176"/>
      <c r="U202" s="560"/>
      <c r="V202" s="1176"/>
      <c r="W202" s="1176"/>
      <c r="X202" s="1176"/>
      <c r="Y202" s="1176"/>
      <c r="Z202" s="1176"/>
      <c r="AA202" s="1648"/>
      <c r="AB202" s="582"/>
      <c r="AC202" s="582"/>
      <c r="AD202" s="582"/>
      <c r="AE202" s="582"/>
      <c r="AF202" s="1657">
        <v>11</v>
      </c>
    </row>
    <row s="1657" customFormat="1" customHeight="1" ht="11.549999999999999">
      <c r="A203" s="1003"/>
      <c r="B203" s="1652"/>
      <c r="C203" s="1652"/>
      <c r="D203" s="367"/>
      <c r="K203" s="1176"/>
      <c r="L203" s="1652"/>
      <c r="M203" s="1652"/>
      <c r="N203" s="1176"/>
      <c r="O203" s="1176"/>
      <c r="P203" s="1176"/>
      <c r="Q203" s="1176"/>
      <c r="R203" s="1652"/>
      <c r="S203" s="1176"/>
      <c r="T203" s="1176"/>
      <c r="U203" s="560"/>
      <c r="V203" s="1176"/>
      <c r="W203" s="1176"/>
      <c r="X203" s="1176"/>
      <c r="Y203" s="1176"/>
      <c r="Z203" s="1176"/>
      <c r="AA203" s="1648"/>
      <c r="AB203" s="582"/>
      <c r="AC203" s="582"/>
      <c r="AD203" s="582"/>
      <c r="AE203" s="582"/>
      <c r="AF203" s="1657">
        <v>11</v>
      </c>
    </row>
    <row s="1657" customFormat="1" customHeight="1" ht="11.549999999999999">
      <c r="A204" s="1003"/>
      <c r="B204" s="1652"/>
      <c r="C204" s="1652"/>
      <c r="D204" s="367"/>
      <c r="K204" s="1176"/>
      <c r="L204" s="1652"/>
      <c r="M204" s="1652"/>
      <c r="N204" s="1176"/>
      <c r="O204" s="1176"/>
      <c r="P204" s="1176"/>
      <c r="Q204" s="1176"/>
      <c r="R204" s="1652"/>
      <c r="S204" s="1176"/>
      <c r="T204" s="1176"/>
      <c r="U204" s="560"/>
      <c r="V204" s="1176"/>
      <c r="W204" s="1176"/>
      <c r="X204" s="1176"/>
      <c r="Y204" s="1176"/>
      <c r="Z204" s="1176"/>
      <c r="AA204" s="1648"/>
      <c r="AB204" s="582"/>
      <c r="AC204" s="582"/>
      <c r="AD204" s="582"/>
      <c r="AE204" s="582"/>
      <c r="AF204" s="1657">
        <v>11</v>
      </c>
    </row>
    <row s="1657" customFormat="1" customHeight="1" ht="11.549999999999999">
      <c r="A205" s="1003"/>
      <c r="B205" s="1652"/>
      <c r="C205" s="1652"/>
      <c r="D205" s="367"/>
      <c r="K205" s="1176"/>
      <c r="L205" s="1652"/>
      <c r="M205" s="1652"/>
      <c r="N205" s="1176"/>
      <c r="O205" s="1176"/>
      <c r="P205" s="1176"/>
      <c r="Q205" s="1176"/>
      <c r="R205" s="1652"/>
      <c r="S205" s="1176"/>
      <c r="T205" s="1176"/>
      <c r="U205" s="560"/>
      <c r="V205" s="1176"/>
      <c r="W205" s="1176"/>
      <c r="X205" s="1176"/>
      <c r="Y205" s="1176"/>
      <c r="Z205" s="1176"/>
      <c r="AA205" s="1648"/>
      <c r="AB205" s="582"/>
      <c r="AC205" s="582"/>
      <c r="AD205" s="582"/>
      <c r="AE205" s="582"/>
      <c r="AF205" s="1657">
        <v>11</v>
      </c>
    </row>
    <row s="1657" customFormat="1" customHeight="1" ht="11.549999999999999">
      <c r="A206" s="1003"/>
      <c r="B206" s="1652"/>
      <c r="C206" s="1652"/>
      <c r="D206" s="367"/>
      <c r="K206" s="1176"/>
      <c r="L206" s="1652"/>
      <c r="M206" s="1652"/>
      <c r="N206" s="1176"/>
      <c r="O206" s="1176"/>
      <c r="P206" s="1176"/>
      <c r="Q206" s="1176"/>
      <c r="R206" s="1652"/>
      <c r="S206" s="1176"/>
      <c r="T206" s="1176"/>
      <c r="U206" s="560"/>
      <c r="V206" s="1176"/>
      <c r="W206" s="1176"/>
      <c r="X206" s="1176"/>
      <c r="Y206" s="1176"/>
      <c r="Z206" s="1176"/>
      <c r="AA206" s="1648"/>
      <c r="AB206" s="582"/>
      <c r="AC206" s="582"/>
      <c r="AD206" s="582"/>
      <c r="AE206" s="582"/>
      <c r="AF206" s="1657">
        <v>11</v>
      </c>
    </row>
    <row s="1657" customFormat="1" customHeight="1" ht="11.549999999999999">
      <c r="A207" s="1003"/>
      <c r="B207" s="1652"/>
      <c r="C207" s="1652"/>
      <c r="D207" s="367"/>
      <c r="K207" s="1176"/>
      <c r="L207" s="1652"/>
      <c r="M207" s="1652"/>
      <c r="N207" s="1176"/>
      <c r="O207" s="1176"/>
      <c r="P207" s="1176"/>
      <c r="Q207" s="1176"/>
      <c r="R207" s="1652"/>
      <c r="S207" s="1176"/>
      <c r="T207" s="1176"/>
      <c r="U207" s="560"/>
      <c r="V207" s="1176"/>
      <c r="W207" s="1176"/>
      <c r="X207" s="1176"/>
      <c r="Y207" s="1176"/>
      <c r="Z207" s="1176"/>
      <c r="AA207" s="1648"/>
      <c r="AB207" s="582"/>
      <c r="AC207" s="582"/>
      <c r="AD207" s="582"/>
      <c r="AE207" s="582"/>
      <c r="AF207" s="1657">
        <v>11</v>
      </c>
    </row>
    <row s="1657" customFormat="1" customHeight="1" ht="11.549999999999999">
      <c r="A208" s="1003"/>
      <c r="B208" s="1652"/>
      <c r="C208" s="1652"/>
      <c r="D208" s="367"/>
      <c r="K208" s="1176"/>
      <c r="L208" s="1652"/>
      <c r="M208" s="1652"/>
      <c r="N208" s="1176"/>
      <c r="O208" s="1176"/>
      <c r="P208" s="1176"/>
      <c r="Q208" s="1176"/>
      <c r="R208" s="1652"/>
      <c r="S208" s="1176"/>
      <c r="T208" s="1176"/>
      <c r="U208" s="560"/>
      <c r="V208" s="1176"/>
      <c r="W208" s="1176"/>
      <c r="X208" s="1176"/>
      <c r="Y208" s="1176"/>
      <c r="Z208" s="1176"/>
      <c r="AA208" s="1648"/>
      <c r="AB208" s="582"/>
      <c r="AC208" s="582"/>
      <c r="AD208" s="582"/>
      <c r="AE208" s="582"/>
      <c r="AF208" s="1657">
        <v>11</v>
      </c>
    </row>
    <row s="1657" customFormat="1" customHeight="1" ht="11.549999999999999">
      <c r="A209" s="1003"/>
      <c r="B209" s="1652"/>
      <c r="C209" s="1652"/>
      <c r="D209" s="367"/>
      <c r="K209" s="1176"/>
      <c r="L209" s="1652"/>
      <c r="M209" s="1652"/>
      <c r="N209" s="1176"/>
      <c r="O209" s="1176"/>
      <c r="P209" s="1176"/>
      <c r="Q209" s="1176"/>
      <c r="R209" s="1652"/>
      <c r="S209" s="1176"/>
      <c r="T209" s="1176"/>
      <c r="U209" s="560"/>
      <c r="V209" s="1176"/>
      <c r="W209" s="1176"/>
      <c r="X209" s="1176"/>
      <c r="Y209" s="1176"/>
      <c r="Z209" s="1176"/>
      <c r="AA209" s="1648"/>
      <c r="AB209" s="582"/>
      <c r="AC209" s="582"/>
      <c r="AD209" s="582"/>
      <c r="AE209" s="582"/>
      <c r="AF209" s="1657">
        <v>11</v>
      </c>
    </row>
    <row s="1657" customFormat="1" customHeight="1" ht="11.549999999999999">
      <c r="A210" s="1003"/>
      <c r="B210" s="1652"/>
      <c r="C210" s="1652"/>
      <c r="D210" s="367"/>
      <c r="K210" s="1176"/>
      <c r="L210" s="1652"/>
      <c r="M210" s="1652"/>
      <c r="N210" s="1176"/>
      <c r="O210" s="1176"/>
      <c r="P210" s="1176"/>
      <c r="Q210" s="1176"/>
      <c r="R210" s="1652"/>
      <c r="S210" s="1176"/>
      <c r="T210" s="1176"/>
      <c r="U210" s="560"/>
      <c r="V210" s="1176"/>
      <c r="W210" s="1176"/>
      <c r="X210" s="1176"/>
      <c r="Y210" s="1176"/>
      <c r="Z210" s="1176"/>
      <c r="AA210" s="1648"/>
      <c r="AB210" s="582"/>
      <c r="AC210" s="582"/>
      <c r="AD210" s="582"/>
      <c r="AE210" s="582"/>
      <c r="AF210" s="1657">
        <v>11</v>
      </c>
    </row>
    <row s="1657" customFormat="1" customHeight="1" ht="11.549999999999999">
      <c r="A211" s="1003"/>
      <c r="B211" s="1652"/>
      <c r="C211" s="1652"/>
      <c r="D211" s="367"/>
      <c r="K211" s="1176"/>
      <c r="L211" s="1652"/>
      <c r="M211" s="1652"/>
      <c r="N211" s="1176"/>
      <c r="O211" s="1176"/>
      <c r="P211" s="1176"/>
      <c r="Q211" s="1176"/>
      <c r="R211" s="1652"/>
      <c r="S211" s="1176"/>
      <c r="T211" s="1176"/>
      <c r="U211" s="560"/>
      <c r="V211" s="1176"/>
      <c r="W211" s="1176"/>
      <c r="X211" s="1176"/>
      <c r="Y211" s="1176"/>
      <c r="Z211" s="1176"/>
      <c r="AA211" s="1648"/>
      <c r="AB211" s="582"/>
      <c r="AC211" s="582"/>
      <c r="AD211" s="582"/>
      <c r="AE211" s="582"/>
      <c r="AF211" s="1657">
        <v>11</v>
      </c>
    </row>
    <row s="1657" customFormat="1" customHeight="1" ht="11.549999999999999">
      <c r="A212" s="1003"/>
      <c r="B212" s="1652"/>
      <c r="C212" s="1652"/>
      <c r="D212" s="367"/>
      <c r="K212" s="1176"/>
      <c r="L212" s="1652"/>
      <c r="M212" s="1652"/>
      <c r="N212" s="1176"/>
      <c r="O212" s="1176"/>
      <c r="P212" s="1176"/>
      <c r="Q212" s="1176"/>
      <c r="R212" s="1652"/>
      <c r="S212" s="1176"/>
      <c r="T212" s="1176"/>
      <c r="U212" s="560"/>
      <c r="V212" s="1176"/>
      <c r="W212" s="1176"/>
      <c r="X212" s="1176"/>
      <c r="Y212" s="1176"/>
      <c r="Z212" s="1176"/>
      <c r="AA212" s="1648"/>
      <c r="AB212" s="582"/>
      <c r="AC212" s="582"/>
      <c r="AD212" s="582"/>
      <c r="AE212" s="582"/>
      <c r="AF212" s="1657">
        <v>11</v>
      </c>
    </row>
    <row s="1657" customFormat="1" customHeight="1" ht="11.549999999999999">
      <c r="A213" s="1003"/>
      <c r="B213" s="1652"/>
      <c r="C213" s="1652"/>
      <c r="D213" s="367"/>
      <c r="K213" s="1176"/>
      <c r="L213" s="1652"/>
      <c r="M213" s="1652"/>
      <c r="N213" s="1176"/>
      <c r="O213" s="1176"/>
      <c r="P213" s="1176"/>
      <c r="Q213" s="1176"/>
      <c r="R213" s="1652"/>
      <c r="S213" s="1176"/>
      <c r="T213" s="1176"/>
      <c r="U213" s="560"/>
      <c r="V213" s="1176"/>
      <c r="W213" s="1176"/>
      <c r="X213" s="1176"/>
      <c r="Y213" s="1176"/>
      <c r="Z213" s="1176"/>
      <c r="AA213" s="1648"/>
      <c r="AB213" s="582"/>
      <c r="AC213" s="582"/>
      <c r="AD213" s="582"/>
      <c r="AE213" s="582"/>
      <c r="AF213" s="1657">
        <v>11</v>
      </c>
    </row>
    <row s="1657" customFormat="1" customHeight="1" ht="11.549999999999999">
      <c r="A214" s="1003"/>
      <c r="B214" s="1652"/>
      <c r="C214" s="1652"/>
      <c r="D214" s="367"/>
      <c r="K214" s="1176"/>
      <c r="L214" s="1652"/>
      <c r="M214" s="1652"/>
      <c r="N214" s="1176"/>
      <c r="O214" s="1176"/>
      <c r="P214" s="1176"/>
      <c r="Q214" s="1176"/>
      <c r="R214" s="1652"/>
      <c r="S214" s="1176"/>
      <c r="T214" s="1176"/>
      <c r="U214" s="560"/>
      <c r="V214" s="1176"/>
      <c r="W214" s="1176"/>
      <c r="X214" s="1176"/>
      <c r="Y214" s="1176"/>
      <c r="Z214" s="1176"/>
      <c r="AA214" s="1648"/>
      <c r="AB214" s="582"/>
      <c r="AC214" s="582"/>
      <c r="AD214" s="582"/>
      <c r="AE214" s="582"/>
      <c r="AF214" s="1657">
        <v>11</v>
      </c>
    </row>
    <row s="1657" customFormat="1" customHeight="1" ht="11.549999999999999">
      <c r="A215" s="1003"/>
      <c r="B215" s="1652"/>
      <c r="C215" s="1652"/>
      <c r="D215" s="367"/>
      <c r="K215" s="1176"/>
      <c r="L215" s="1652"/>
      <c r="M215" s="1652"/>
      <c r="N215" s="1176"/>
      <c r="O215" s="1176"/>
      <c r="P215" s="1176"/>
      <c r="Q215" s="1176"/>
      <c r="R215" s="1652"/>
      <c r="S215" s="1176"/>
      <c r="T215" s="1176"/>
      <c r="U215" s="560"/>
      <c r="V215" s="1176"/>
      <c r="W215" s="1176"/>
      <c r="X215" s="1176"/>
      <c r="Y215" s="1176"/>
      <c r="Z215" s="1176"/>
      <c r="AA215" s="1648"/>
      <c r="AB215" s="582"/>
      <c r="AC215" s="582"/>
      <c r="AD215" s="582"/>
      <c r="AE215" s="582"/>
      <c r="AF215" s="1657">
        <v>11</v>
      </c>
    </row>
    <row s="1657" customFormat="1" customHeight="1" ht="11.549999999999999">
      <c r="A216" s="1003"/>
      <c r="B216" s="1652"/>
      <c r="C216" s="1652"/>
      <c r="D216" s="367"/>
      <c r="K216" s="1176"/>
      <c r="L216" s="1652"/>
      <c r="M216" s="1652"/>
      <c r="N216" s="1176"/>
      <c r="O216" s="1176"/>
      <c r="P216" s="1176"/>
      <c r="Q216" s="1176"/>
      <c r="R216" s="1652"/>
      <c r="S216" s="1176"/>
      <c r="T216" s="1176"/>
      <c r="U216" s="560"/>
      <c r="V216" s="1176"/>
      <c r="W216" s="1176"/>
      <c r="X216" s="1176"/>
      <c r="Y216" s="1176"/>
      <c r="Z216" s="1176"/>
      <c r="AA216" s="1648"/>
      <c r="AB216" s="582"/>
      <c r="AC216" s="582"/>
      <c r="AD216" s="582"/>
      <c r="AE216" s="582"/>
      <c r="AF216" s="1657">
        <v>11</v>
      </c>
    </row>
    <row s="1657" customFormat="1" customHeight="1" ht="11.549999999999999">
      <c r="A217" s="1003"/>
      <c r="B217" s="1652"/>
      <c r="C217" s="1652"/>
      <c r="D217" s="367"/>
      <c r="K217" s="1176"/>
      <c r="L217" s="1652"/>
      <c r="M217" s="1652"/>
      <c r="N217" s="1176"/>
      <c r="O217" s="1176"/>
      <c r="P217" s="1176"/>
      <c r="Q217" s="1176"/>
      <c r="R217" s="1652"/>
      <c r="S217" s="1176"/>
      <c r="T217" s="1176"/>
      <c r="U217" s="560"/>
      <c r="V217" s="1176"/>
      <c r="W217" s="1176"/>
      <c r="X217" s="1176"/>
      <c r="Y217" s="1176"/>
      <c r="Z217" s="1176"/>
      <c r="AA217" s="1648"/>
      <c r="AB217" s="582"/>
      <c r="AC217" s="582"/>
      <c r="AD217" s="582"/>
      <c r="AE217" s="582"/>
      <c r="AF217" s="1657">
        <v>11</v>
      </c>
    </row>
    <row s="1657" customFormat="1" customHeight="1" ht="11.549999999999999">
      <c r="A218" s="1003"/>
      <c r="B218" s="1652"/>
      <c r="C218" s="1652"/>
      <c r="D218" s="367"/>
      <c r="K218" s="1176"/>
      <c r="L218" s="1652"/>
      <c r="M218" s="1652"/>
      <c r="N218" s="1176"/>
      <c r="O218" s="1176"/>
      <c r="P218" s="1176"/>
      <c r="Q218" s="1176"/>
      <c r="R218" s="1652"/>
      <c r="S218" s="1176"/>
      <c r="T218" s="1176"/>
      <c r="U218" s="560"/>
      <c r="V218" s="1176"/>
      <c r="W218" s="1176"/>
      <c r="X218" s="1176"/>
      <c r="Y218" s="1176"/>
      <c r="Z218" s="1176"/>
      <c r="AA218" s="1648"/>
      <c r="AB218" s="582"/>
      <c r="AC218" s="582"/>
      <c r="AD218" s="582"/>
      <c r="AE218" s="582"/>
      <c r="AF218" s="1657">
        <v>11</v>
      </c>
    </row>
    <row s="1657" customFormat="1" customHeight="1" ht="11.549999999999999">
      <c r="A219" s="1003"/>
      <c r="B219" s="1652"/>
      <c r="C219" s="1652"/>
      <c r="D219" s="367"/>
      <c r="K219" s="1176"/>
      <c r="L219" s="1652"/>
      <c r="M219" s="1652"/>
      <c r="N219" s="1176"/>
      <c r="O219" s="1176"/>
      <c r="P219" s="1176"/>
      <c r="Q219" s="1176"/>
      <c r="R219" s="1652"/>
      <c r="S219" s="1176"/>
      <c r="T219" s="1176"/>
      <c r="U219" s="560"/>
      <c r="V219" s="1176"/>
      <c r="W219" s="1176"/>
      <c r="X219" s="1176"/>
      <c r="Y219" s="1176"/>
      <c r="Z219" s="1176"/>
      <c r="AA219" s="1648"/>
      <c r="AB219" s="582"/>
      <c r="AC219" s="582"/>
      <c r="AD219" s="582"/>
      <c r="AE219" s="582"/>
      <c r="AF219" s="1657">
        <v>11</v>
      </c>
    </row>
    <row s="1657" customFormat="1" customHeight="1" ht="11.549999999999999">
      <c r="A220" s="1003"/>
      <c r="B220" s="1652"/>
      <c r="C220" s="1652"/>
      <c r="D220" s="367"/>
      <c r="K220" s="1176"/>
      <c r="L220" s="1652"/>
      <c r="M220" s="1652"/>
      <c r="N220" s="1176"/>
      <c r="O220" s="1176"/>
      <c r="P220" s="1176"/>
      <c r="Q220" s="1176"/>
      <c r="R220" s="1652"/>
      <c r="S220" s="1176"/>
      <c r="T220" s="1176"/>
      <c r="U220" s="560"/>
      <c r="V220" s="1176"/>
      <c r="W220" s="1176"/>
      <c r="X220" s="1176"/>
      <c r="Y220" s="1176"/>
      <c r="Z220" s="1176"/>
      <c r="AA220" s="1648"/>
      <c r="AB220" s="582"/>
      <c r="AC220" s="582"/>
      <c r="AD220" s="582"/>
      <c r="AE220" s="582"/>
      <c r="AF220" s="1657">
        <v>11</v>
      </c>
    </row>
    <row s="1657" customFormat="1" customHeight="1" ht="11.549999999999999">
      <c r="A221" s="1003"/>
      <c r="B221" s="1652"/>
      <c r="C221" s="1652"/>
      <c r="D221" s="367"/>
      <c r="K221" s="1176"/>
      <c r="L221" s="1652"/>
      <c r="M221" s="1652"/>
      <c r="N221" s="1176"/>
      <c r="O221" s="1176"/>
      <c r="P221" s="1176"/>
      <c r="Q221" s="1176"/>
      <c r="R221" s="1652"/>
      <c r="S221" s="1176"/>
      <c r="T221" s="1176"/>
      <c r="U221" s="560"/>
      <c r="V221" s="1176"/>
      <c r="W221" s="1176"/>
      <c r="X221" s="1176"/>
      <c r="Y221" s="1176"/>
      <c r="Z221" s="1176"/>
      <c r="AA221" s="1648"/>
      <c r="AB221" s="582"/>
      <c r="AC221" s="582"/>
      <c r="AD221" s="582"/>
      <c r="AE221" s="582"/>
      <c r="AF221" s="1657">
        <v>11</v>
      </c>
    </row>
    <row s="1657" customFormat="1" customHeight="1" ht="11.549999999999999">
      <c r="A222" s="1003"/>
      <c r="B222" s="1652"/>
      <c r="C222" s="1652"/>
      <c r="D222" s="367"/>
      <c r="K222" s="1176"/>
      <c r="L222" s="1652"/>
      <c r="M222" s="1652"/>
      <c r="N222" s="1176"/>
      <c r="O222" s="1176"/>
      <c r="P222" s="1176"/>
      <c r="Q222" s="1176"/>
      <c r="R222" s="1652"/>
      <c r="S222" s="1176"/>
      <c r="T222" s="1176"/>
      <c r="U222" s="560"/>
      <c r="V222" s="1176"/>
      <c r="W222" s="1176"/>
      <c r="X222" s="1176"/>
      <c r="Y222" s="1176"/>
      <c r="Z222" s="1176"/>
      <c r="AA222" s="1648"/>
      <c r="AB222" s="582"/>
      <c r="AC222" s="582"/>
      <c r="AD222" s="582"/>
      <c r="AE222" s="582"/>
      <c r="AF222" s="1657">
        <v>11</v>
      </c>
    </row>
    <row s="1657" customFormat="1" customHeight="1" ht="11.549999999999999">
      <c r="A223" s="1003"/>
      <c r="B223" s="1652"/>
      <c r="C223" s="1652"/>
      <c r="D223" s="367"/>
      <c r="K223" s="1176"/>
      <c r="L223" s="1652"/>
      <c r="M223" s="1652"/>
      <c r="N223" s="1176"/>
      <c r="O223" s="1176"/>
      <c r="P223" s="1176"/>
      <c r="Q223" s="1176"/>
      <c r="R223" s="1652"/>
      <c r="S223" s="1176"/>
      <c r="T223" s="1176"/>
      <c r="U223" s="560"/>
      <c r="V223" s="1176"/>
      <c r="W223" s="1176"/>
      <c r="X223" s="1176"/>
      <c r="Y223" s="1176"/>
      <c r="Z223" s="1176"/>
      <c r="AA223" s="1648"/>
      <c r="AB223" s="582"/>
      <c r="AC223" s="582"/>
      <c r="AD223" s="582"/>
      <c r="AE223" s="582"/>
      <c r="AF223" s="1657">
        <v>11</v>
      </c>
    </row>
    <row s="1657" customFormat="1" customHeight="1" ht="11.549999999999999">
      <c r="A224" s="1003"/>
      <c r="B224" s="1652"/>
      <c r="C224" s="1652"/>
      <c r="D224" s="367"/>
      <c r="K224" s="1176"/>
      <c r="L224" s="1652"/>
      <c r="M224" s="1652"/>
      <c r="N224" s="1176"/>
      <c r="O224" s="1176"/>
      <c r="P224" s="1176"/>
      <c r="Q224" s="1176"/>
      <c r="R224" s="1652"/>
      <c r="S224" s="1176"/>
      <c r="T224" s="1176"/>
      <c r="U224" s="560"/>
      <c r="V224" s="1176"/>
      <c r="W224" s="1176"/>
      <c r="X224" s="1176"/>
      <c r="Y224" s="1176"/>
      <c r="Z224" s="1176"/>
      <c r="AA224" s="1648"/>
      <c r="AB224" s="582"/>
      <c r="AC224" s="582"/>
      <c r="AD224" s="582"/>
      <c r="AE224" s="582"/>
      <c r="AF224" s="1657">
        <v>11</v>
      </c>
    </row>
    <row s="1657" customFormat="1" customHeight="1" ht="11.549999999999999">
      <c r="A225" s="1003"/>
      <c r="B225" s="1652"/>
      <c r="C225" s="1652"/>
      <c r="D225" s="367"/>
      <c r="K225" s="1176"/>
      <c r="L225" s="1652"/>
      <c r="M225" s="1652"/>
      <c r="N225" s="1176"/>
      <c r="O225" s="1176"/>
      <c r="P225" s="1176"/>
      <c r="Q225" s="1176"/>
      <c r="R225" s="1652"/>
      <c r="S225" s="1176"/>
      <c r="T225" s="1176"/>
      <c r="U225" s="560"/>
      <c r="V225" s="1176"/>
      <c r="W225" s="1176"/>
      <c r="X225" s="1176"/>
      <c r="Y225" s="1176"/>
      <c r="Z225" s="1176"/>
      <c r="AA225" s="1648"/>
      <c r="AB225" s="582"/>
      <c r="AC225" s="582"/>
      <c r="AD225" s="582"/>
      <c r="AE225" s="582"/>
      <c r="AF225" s="1657">
        <v>11</v>
      </c>
    </row>
    <row s="1657" customFormat="1" customHeight="1" ht="11.549999999999999">
      <c r="A226" s="1003"/>
      <c r="B226" s="1652"/>
      <c r="C226" s="1652"/>
      <c r="D226" s="367"/>
      <c r="K226" s="1176"/>
      <c r="L226" s="1652"/>
      <c r="M226" s="1652"/>
      <c r="N226" s="1176"/>
      <c r="O226" s="1176"/>
      <c r="P226" s="1176"/>
      <c r="Q226" s="1176"/>
      <c r="R226" s="1652"/>
      <c r="S226" s="1176"/>
      <c r="T226" s="1176"/>
      <c r="U226" s="560"/>
      <c r="V226" s="1176"/>
      <c r="W226" s="1176"/>
      <c r="X226" s="1176"/>
      <c r="Y226" s="1176"/>
      <c r="Z226" s="1176"/>
      <c r="AA226" s="1648"/>
      <c r="AB226" s="582"/>
      <c r="AC226" s="582"/>
      <c r="AD226" s="582"/>
      <c r="AE226" s="582"/>
      <c r="AF226" s="1657">
        <v>11</v>
      </c>
    </row>
    <row s="1657" customFormat="1" customHeight="1" ht="11.549999999999999">
      <c r="A227" s="1003"/>
      <c r="B227" s="1652"/>
      <c r="C227" s="1652"/>
      <c r="D227" s="367"/>
      <c r="K227" s="1176"/>
      <c r="L227" s="1652"/>
      <c r="M227" s="1652"/>
      <c r="N227" s="1176"/>
      <c r="O227" s="1176"/>
      <c r="P227" s="1176"/>
      <c r="Q227" s="1176"/>
      <c r="R227" s="1652"/>
      <c r="S227" s="1176"/>
      <c r="T227" s="1176"/>
      <c r="U227" s="560"/>
      <c r="V227" s="1176"/>
      <c r="W227" s="1176"/>
      <c r="X227" s="1176"/>
      <c r="Y227" s="1176"/>
      <c r="Z227" s="1176"/>
      <c r="AA227" s="1648"/>
      <c r="AB227" s="582"/>
      <c r="AC227" s="582"/>
      <c r="AD227" s="582"/>
      <c r="AE227" s="582"/>
      <c r="AF227" s="1657">
        <v>11</v>
      </c>
    </row>
    <row s="1657" customFormat="1" customHeight="1" ht="11.549999999999999">
      <c r="A228" s="1003"/>
      <c r="B228" s="1652"/>
      <c r="C228" s="1652"/>
      <c r="D228" s="367"/>
      <c r="K228" s="1176"/>
      <c r="L228" s="1652"/>
      <c r="M228" s="1652"/>
      <c r="N228" s="1176"/>
      <c r="O228" s="1176"/>
      <c r="P228" s="1176"/>
      <c r="Q228" s="1176"/>
      <c r="R228" s="1652"/>
      <c r="S228" s="1176"/>
      <c r="T228" s="1176"/>
      <c r="U228" s="560"/>
      <c r="V228" s="1176"/>
      <c r="W228" s="1176"/>
      <c r="X228" s="1176"/>
      <c r="Y228" s="1176"/>
      <c r="Z228" s="1176"/>
      <c r="AA228" s="1648"/>
      <c r="AB228" s="582"/>
      <c r="AC228" s="582"/>
      <c r="AD228" s="582"/>
      <c r="AE228" s="582"/>
      <c r="AF228" s="1657">
        <v>11</v>
      </c>
    </row>
    <row s="1657" customFormat="1" customHeight="1" ht="11.549999999999999">
      <c r="A229" s="1003"/>
      <c r="B229" s="1652"/>
      <c r="C229" s="1652"/>
      <c r="D229" s="367"/>
      <c r="K229" s="1176"/>
      <c r="L229" s="1652"/>
      <c r="M229" s="1652"/>
      <c r="N229" s="1176"/>
      <c r="O229" s="1176"/>
      <c r="P229" s="1176"/>
      <c r="Q229" s="1176"/>
      <c r="R229" s="1652"/>
      <c r="S229" s="1176"/>
      <c r="T229" s="1176"/>
      <c r="U229" s="560"/>
      <c r="V229" s="1176"/>
      <c r="W229" s="1176"/>
      <c r="X229" s="1176"/>
      <c r="Y229" s="1176"/>
      <c r="Z229" s="1176"/>
      <c r="AA229" s="1648"/>
      <c r="AB229" s="582"/>
      <c r="AC229" s="582"/>
      <c r="AD229" s="582"/>
      <c r="AE229" s="582"/>
      <c r="AF229" s="1657">
        <v>11</v>
      </c>
    </row>
    <row s="1657" customFormat="1" customHeight="1" ht="11.549999999999999">
      <c r="A230" s="1003"/>
      <c r="B230" s="1652"/>
      <c r="C230" s="1652"/>
      <c r="D230" s="367"/>
      <c r="K230" s="1176"/>
      <c r="L230" s="1652"/>
      <c r="M230" s="1652"/>
      <c r="N230" s="1176"/>
      <c r="O230" s="1176"/>
      <c r="P230" s="1176"/>
      <c r="Q230" s="1176"/>
      <c r="R230" s="1652"/>
      <c r="S230" s="1176"/>
      <c r="T230" s="1176"/>
      <c r="U230" s="560"/>
      <c r="V230" s="1176"/>
      <c r="W230" s="1176"/>
      <c r="X230" s="1176"/>
      <c r="Y230" s="1176"/>
      <c r="Z230" s="1176"/>
      <c r="AA230" s="1648"/>
      <c r="AB230" s="582"/>
      <c r="AC230" s="582"/>
      <c r="AD230" s="582"/>
      <c r="AE230" s="582"/>
      <c r="AF230" s="1657">
        <v>11</v>
      </c>
    </row>
    <row s="1657" customFormat="1" customHeight="1" ht="11.549999999999999">
      <c r="A231" s="1003"/>
      <c r="B231" s="1652"/>
      <c r="C231" s="1652"/>
      <c r="D231" s="367"/>
      <c r="K231" s="1176"/>
      <c r="L231" s="1652"/>
      <c r="M231" s="1652"/>
      <c r="N231" s="1176"/>
      <c r="O231" s="1176"/>
      <c r="P231" s="1176"/>
      <c r="Q231" s="1176"/>
      <c r="R231" s="1652"/>
      <c r="S231" s="1176"/>
      <c r="T231" s="1176"/>
      <c r="U231" s="560"/>
      <c r="V231" s="1176"/>
      <c r="W231" s="1176"/>
      <c r="X231" s="1176"/>
      <c r="Y231" s="1176"/>
      <c r="Z231" s="1176"/>
      <c r="AA231" s="1648"/>
      <c r="AB231" s="582"/>
      <c r="AC231" s="582"/>
      <c r="AD231" s="582"/>
      <c r="AE231" s="582"/>
      <c r="AF231" s="1657">
        <v>11</v>
      </c>
    </row>
    <row s="1657" customFormat="1" customHeight="1" ht="11.549999999999999">
      <c r="A232" s="1003"/>
      <c r="B232" s="1652"/>
      <c r="C232" s="1652"/>
      <c r="D232" s="367"/>
      <c r="K232" s="1176"/>
      <c r="L232" s="1652"/>
      <c r="M232" s="1652"/>
      <c r="N232" s="1176"/>
      <c r="O232" s="1176"/>
      <c r="P232" s="1176"/>
      <c r="Q232" s="1176"/>
      <c r="R232" s="1652"/>
      <c r="S232" s="1176"/>
      <c r="T232" s="1176"/>
      <c r="U232" s="560"/>
      <c r="V232" s="1176"/>
      <c r="W232" s="1176"/>
      <c r="X232" s="1176"/>
      <c r="Y232" s="1176"/>
      <c r="Z232" s="1176"/>
      <c r="AA232" s="1648"/>
      <c r="AB232" s="582"/>
      <c r="AC232" s="582"/>
      <c r="AD232" s="582"/>
      <c r="AE232" s="582"/>
      <c r="AF232" s="1657">
        <v>11</v>
      </c>
    </row>
    <row s="1657" customFormat="1" customHeight="1" ht="11.549999999999999">
      <c r="A233" s="1003"/>
      <c r="B233" s="1652"/>
      <c r="C233" s="1652"/>
      <c r="D233" s="367"/>
      <c r="K233" s="1176"/>
      <c r="L233" s="1652"/>
      <c r="M233" s="1652"/>
      <c r="N233" s="1176"/>
      <c r="O233" s="1176"/>
      <c r="P233" s="1176"/>
      <c r="Q233" s="1176"/>
      <c r="R233" s="1652"/>
      <c r="S233" s="1176"/>
      <c r="T233" s="1176"/>
      <c r="U233" s="560"/>
      <c r="V233" s="1176"/>
      <c r="W233" s="1176"/>
      <c r="X233" s="1176"/>
      <c r="Y233" s="1176"/>
      <c r="Z233" s="1176"/>
      <c r="AA233" s="1648"/>
      <c r="AB233" s="582"/>
      <c r="AC233" s="582"/>
      <c r="AD233" s="582"/>
      <c r="AE233" s="582"/>
      <c r="AF233" s="1657">
        <v>11</v>
      </c>
    </row>
    <row s="1657" customFormat="1" customHeight="1" ht="11.549999999999999">
      <c r="A234" s="1003"/>
      <c r="B234" s="1652"/>
      <c r="C234" s="1652"/>
      <c r="D234" s="367"/>
      <c r="K234" s="1176"/>
      <c r="L234" s="1652"/>
      <c r="M234" s="1652"/>
      <c r="N234" s="1176"/>
      <c r="O234" s="1176"/>
      <c r="P234" s="1176"/>
      <c r="Q234" s="1176"/>
      <c r="R234" s="1652"/>
      <c r="S234" s="1176"/>
      <c r="T234" s="1176"/>
      <c r="U234" s="560"/>
      <c r="V234" s="1176"/>
      <c r="W234" s="1176"/>
      <c r="X234" s="1176"/>
      <c r="Y234" s="1176"/>
      <c r="Z234" s="1176"/>
      <c r="AA234" s="1648"/>
      <c r="AB234" s="582"/>
      <c r="AC234" s="582"/>
      <c r="AD234" s="582"/>
      <c r="AE234" s="582"/>
      <c r="AF234" s="1657">
        <v>11</v>
      </c>
    </row>
    <row s="1657" customFormat="1" customHeight="1" ht="11.549999999999999">
      <c r="A235" s="1003"/>
      <c r="B235" s="1652"/>
      <c r="C235" s="1652"/>
      <c r="D235" s="367"/>
      <c r="K235" s="1176"/>
      <c r="L235" s="1652"/>
      <c r="M235" s="1652"/>
      <c r="N235" s="1176"/>
      <c r="O235" s="1176"/>
      <c r="P235" s="1176"/>
      <c r="Q235" s="1176"/>
      <c r="R235" s="1652"/>
      <c r="S235" s="1176"/>
      <c r="T235" s="1176"/>
      <c r="U235" s="560"/>
      <c r="V235" s="1176"/>
      <c r="W235" s="1176"/>
      <c r="X235" s="1176"/>
      <c r="Y235" s="1176"/>
      <c r="Z235" s="1176"/>
      <c r="AA235" s="1648"/>
      <c r="AB235" s="582"/>
      <c r="AC235" s="582"/>
      <c r="AD235" s="582"/>
      <c r="AE235" s="582"/>
      <c r="AF235" s="1657">
        <v>11</v>
      </c>
    </row>
    <row s="1657" customFormat="1" customHeight="1" ht="11.549999999999999">
      <c r="A236" s="1003"/>
      <c r="B236" s="1652"/>
      <c r="C236" s="1652"/>
      <c r="D236" s="367"/>
      <c r="K236" s="1176"/>
      <c r="L236" s="1652"/>
      <c r="M236" s="1652"/>
      <c r="N236" s="1176"/>
      <c r="O236" s="1176"/>
      <c r="P236" s="1176"/>
      <c r="Q236" s="1176"/>
      <c r="R236" s="1652"/>
      <c r="S236" s="1176"/>
      <c r="T236" s="1176"/>
      <c r="U236" s="560"/>
      <c r="V236" s="1176"/>
      <c r="W236" s="1176"/>
      <c r="X236" s="1176"/>
      <c r="Y236" s="1176"/>
      <c r="Z236" s="1176"/>
      <c r="AA236" s="1648"/>
      <c r="AB236" s="582"/>
      <c r="AC236" s="582"/>
      <c r="AD236" s="582"/>
      <c r="AE236" s="582"/>
      <c r="AF236" s="1657">
        <v>11</v>
      </c>
    </row>
    <row s="1657" customFormat="1" customHeight="1" ht="11.549999999999999">
      <c r="A237" s="1003"/>
      <c r="B237" s="1652"/>
      <c r="C237" s="1652"/>
      <c r="D237" s="367"/>
      <c r="K237" s="1176"/>
      <c r="L237" s="1652"/>
      <c r="M237" s="1652"/>
      <c r="N237" s="1176"/>
      <c r="O237" s="1176"/>
      <c r="P237" s="1176"/>
      <c r="Q237" s="1176"/>
      <c r="R237" s="1652"/>
      <c r="S237" s="1176"/>
      <c r="T237" s="1176"/>
      <c r="U237" s="560"/>
      <c r="V237" s="1176"/>
      <c r="W237" s="1176"/>
      <c r="X237" s="1176"/>
      <c r="Y237" s="1176"/>
      <c r="Z237" s="1176"/>
      <c r="AA237" s="1648"/>
      <c r="AB237" s="582"/>
      <c r="AC237" s="582"/>
      <c r="AD237" s="582"/>
      <c r="AE237" s="582"/>
      <c r="AF237" s="1657">
        <v>11</v>
      </c>
    </row>
    <row s="1657" customFormat="1" customHeight="1" ht="11.549999999999999">
      <c r="A238" s="1003"/>
      <c r="B238" s="1652"/>
      <c r="C238" s="1652"/>
      <c r="D238" s="367"/>
      <c r="K238" s="1176"/>
      <c r="L238" s="1652"/>
      <c r="M238" s="1652"/>
      <c r="N238" s="1176"/>
      <c r="O238" s="1176"/>
      <c r="P238" s="1176"/>
      <c r="Q238" s="1176"/>
      <c r="R238" s="1652"/>
      <c r="S238" s="1176"/>
      <c r="T238" s="1176"/>
      <c r="U238" s="560"/>
      <c r="V238" s="1176"/>
      <c r="W238" s="1176"/>
      <c r="X238" s="1176"/>
      <c r="Y238" s="1176"/>
      <c r="Z238" s="1176"/>
      <c r="AA238" s="1648"/>
      <c r="AB238" s="582"/>
      <c r="AC238" s="582"/>
      <c r="AD238" s="582"/>
      <c r="AE238" s="582"/>
      <c r="AF238" s="1657">
        <v>11</v>
      </c>
    </row>
    <row s="1657" customFormat="1" customHeight="1" ht="11.549999999999999">
      <c r="A239" s="1003"/>
      <c r="B239" s="1652"/>
      <c r="C239" s="1652"/>
      <c r="D239" s="367"/>
      <c r="K239" s="1176"/>
      <c r="L239" s="1652"/>
      <c r="M239" s="1652"/>
      <c r="N239" s="1176"/>
      <c r="O239" s="1176"/>
      <c r="P239" s="1176"/>
      <c r="Q239" s="1176"/>
      <c r="R239" s="1652"/>
      <c r="S239" s="1176"/>
      <c r="T239" s="1176"/>
      <c r="U239" s="560"/>
      <c r="V239" s="1176"/>
      <c r="W239" s="1176"/>
      <c r="X239" s="1176"/>
      <c r="Y239" s="1176"/>
      <c r="Z239" s="1176"/>
      <c r="AA239" s="1648"/>
      <c r="AB239" s="582"/>
      <c r="AC239" s="582"/>
      <c r="AD239" s="582"/>
      <c r="AE239" s="582"/>
      <c r="AF239" s="1657">
        <v>11</v>
      </c>
    </row>
    <row s="1657" customFormat="1" customHeight="1" ht="11.549999999999999">
      <c r="A240" s="1003"/>
      <c r="B240" s="1652"/>
      <c r="C240" s="1652"/>
      <c r="D240" s="367"/>
      <c r="K240" s="1176"/>
      <c r="L240" s="1652"/>
      <c r="M240" s="1652"/>
      <c r="N240" s="1176"/>
      <c r="O240" s="1176"/>
      <c r="P240" s="1176"/>
      <c r="Q240" s="1176"/>
      <c r="R240" s="1652"/>
      <c r="S240" s="1176"/>
      <c r="T240" s="1176"/>
      <c r="U240" s="560"/>
      <c r="V240" s="1176"/>
      <c r="W240" s="1176"/>
      <c r="X240" s="1176"/>
      <c r="Y240" s="1176"/>
      <c r="Z240" s="1176"/>
      <c r="AA240" s="1648"/>
      <c r="AB240" s="582"/>
      <c r="AC240" s="582"/>
      <c r="AD240" s="582"/>
      <c r="AE240" s="582"/>
      <c r="AF240" s="1657">
        <v>11</v>
      </c>
    </row>
    <row s="1657" customFormat="1" customHeight="1" ht="11.549999999999999">
      <c r="A241" s="1003"/>
      <c r="B241" s="1652"/>
      <c r="C241" s="1652"/>
      <c r="D241" s="367"/>
      <c r="K241" s="1176"/>
      <c r="L241" s="1652"/>
      <c r="M241" s="1652"/>
      <c r="N241" s="1176"/>
      <c r="O241" s="1176"/>
      <c r="P241" s="1176"/>
      <c r="Q241" s="1176"/>
      <c r="R241" s="1652"/>
      <c r="S241" s="1176"/>
      <c r="T241" s="1176"/>
      <c r="U241" s="560"/>
      <c r="V241" s="1176"/>
      <c r="W241" s="1176"/>
      <c r="X241" s="1176"/>
      <c r="Y241" s="1176"/>
      <c r="Z241" s="1176"/>
      <c r="AA241" s="1648"/>
      <c r="AB241" s="582"/>
      <c r="AC241" s="582"/>
      <c r="AD241" s="582"/>
      <c r="AE241" s="582"/>
      <c r="AF241" s="1657">
        <v>11</v>
      </c>
    </row>
    <row s="1657" customFormat="1" customHeight="1" ht="11.549999999999999">
      <c r="A242" s="1003"/>
      <c r="B242" s="1652"/>
      <c r="C242" s="1652"/>
      <c r="D242" s="367"/>
      <c r="K242" s="1176"/>
      <c r="L242" s="1652"/>
      <c r="M242" s="1652"/>
      <c r="N242" s="1176"/>
      <c r="O242" s="1176"/>
      <c r="P242" s="1176"/>
      <c r="Q242" s="1176"/>
      <c r="R242" s="1652"/>
      <c r="S242" s="1176"/>
      <c r="T242" s="1176"/>
      <c r="U242" s="560"/>
      <c r="V242" s="1176"/>
      <c r="W242" s="1176"/>
      <c r="X242" s="1176"/>
      <c r="Y242" s="1176"/>
      <c r="Z242" s="1176"/>
      <c r="AA242" s="1648"/>
      <c r="AB242" s="582"/>
      <c r="AC242" s="582"/>
      <c r="AD242" s="582"/>
      <c r="AE242" s="582"/>
      <c r="AF242" s="1657">
        <v>11</v>
      </c>
    </row>
    <row s="1657" customFormat="1" customHeight="1" ht="11.549999999999999">
      <c r="A243" s="1003"/>
      <c r="B243" s="1652"/>
      <c r="C243" s="1652"/>
      <c r="D243" s="367"/>
      <c r="K243" s="1176"/>
      <c r="L243" s="1652"/>
      <c r="M243" s="1652"/>
      <c r="N243" s="1176"/>
      <c r="O243" s="1176"/>
      <c r="P243" s="1176"/>
      <c r="Q243" s="1176"/>
      <c r="R243" s="1652"/>
      <c r="S243" s="1176"/>
      <c r="T243" s="1176"/>
      <c r="U243" s="560"/>
      <c r="V243" s="1176"/>
      <c r="W243" s="1176"/>
      <c r="X243" s="1176"/>
      <c r="Y243" s="1176"/>
      <c r="Z243" s="1176"/>
      <c r="AA243" s="1648"/>
      <c r="AB243" s="582"/>
      <c r="AC243" s="582"/>
      <c r="AD243" s="582"/>
      <c r="AE243" s="582"/>
      <c r="AF243" s="1657">
        <v>11</v>
      </c>
    </row>
    <row s="1657" customFormat="1" customHeight="1" ht="11.549999999999999">
      <c r="A244" s="1003"/>
      <c r="B244" s="1652"/>
      <c r="C244" s="1652"/>
      <c r="D244" s="367"/>
      <c r="K244" s="1176"/>
      <c r="L244" s="1652"/>
      <c r="M244" s="1652"/>
      <c r="N244" s="1176"/>
      <c r="O244" s="1176"/>
      <c r="P244" s="1176"/>
      <c r="Q244" s="1176"/>
      <c r="R244" s="1652"/>
      <c r="S244" s="1176"/>
      <c r="T244" s="1176"/>
      <c r="U244" s="560"/>
      <c r="V244" s="1176"/>
      <c r="W244" s="1176"/>
      <c r="X244" s="1176"/>
      <c r="Y244" s="1176"/>
      <c r="Z244" s="1176"/>
      <c r="AA244" s="1648"/>
      <c r="AB244" s="582"/>
      <c r="AC244" s="582"/>
      <c r="AD244" s="582"/>
      <c r="AE244" s="582"/>
      <c r="AF244" s="1657">
        <v>11</v>
      </c>
    </row>
    <row s="1657" customFormat="1" customHeight="1" ht="11.549999999999999">
      <c r="A245" s="1003"/>
      <c r="B245" s="1652"/>
      <c r="C245" s="1652"/>
      <c r="D245" s="367"/>
      <c r="K245" s="1176"/>
      <c r="L245" s="1652"/>
      <c r="M245" s="1652"/>
      <c r="N245" s="1176"/>
      <c r="O245" s="1176"/>
      <c r="P245" s="1176"/>
      <c r="Q245" s="1176"/>
      <c r="R245" s="1652"/>
      <c r="S245" s="1176"/>
      <c r="T245" s="1176"/>
      <c r="U245" s="560"/>
      <c r="V245" s="1176"/>
      <c r="W245" s="1176"/>
      <c r="X245" s="1176"/>
      <c r="Y245" s="1176"/>
      <c r="Z245" s="1176"/>
      <c r="AA245" s="1648"/>
      <c r="AB245" s="582"/>
      <c r="AC245" s="582"/>
      <c r="AD245" s="582"/>
      <c r="AE245" s="582"/>
      <c r="AF245" s="1657">
        <v>11</v>
      </c>
    </row>
    <row s="1657" customFormat="1" customHeight="1" ht="11.549999999999999">
      <c r="A246" s="1003"/>
      <c r="B246" s="1652"/>
      <c r="C246" s="1652"/>
      <c r="D246" s="367"/>
      <c r="K246" s="1176"/>
      <c r="L246" s="1652"/>
      <c r="M246" s="1652"/>
      <c r="N246" s="1176"/>
      <c r="O246" s="1176"/>
      <c r="P246" s="1176"/>
      <c r="Q246" s="1176"/>
      <c r="R246" s="1652"/>
      <c r="S246" s="1176"/>
      <c r="T246" s="1176"/>
      <c r="U246" s="560"/>
      <c r="V246" s="1176"/>
      <c r="W246" s="1176"/>
      <c r="X246" s="1176"/>
      <c r="Y246" s="1176"/>
      <c r="Z246" s="1176"/>
      <c r="AA246" s="1648"/>
      <c r="AB246" s="582"/>
      <c r="AC246" s="582"/>
      <c r="AD246" s="582"/>
      <c r="AE246" s="582"/>
      <c r="AF246" s="1657">
        <v>11</v>
      </c>
    </row>
    <row s="1657" customFormat="1" customHeight="1" ht="11.549999999999999">
      <c r="A247" s="1003"/>
      <c r="B247" s="1652"/>
      <c r="C247" s="1652"/>
      <c r="D247" s="367"/>
      <c r="K247" s="1176"/>
      <c r="L247" s="1652"/>
      <c r="M247" s="1652"/>
      <c r="N247" s="1176"/>
      <c r="O247" s="1176"/>
      <c r="P247" s="1176"/>
      <c r="Q247" s="1176"/>
      <c r="R247" s="1652"/>
      <c r="S247" s="1176"/>
      <c r="T247" s="1176"/>
      <c r="U247" s="560"/>
      <c r="V247" s="1176"/>
      <c r="W247" s="1176"/>
      <c r="X247" s="1176"/>
      <c r="Y247" s="1176"/>
      <c r="Z247" s="1176"/>
      <c r="AA247" s="1648"/>
      <c r="AB247" s="582"/>
      <c r="AC247" s="582"/>
      <c r="AD247" s="582"/>
      <c r="AE247" s="582"/>
      <c r="AF247" s="1657">
        <v>11</v>
      </c>
    </row>
    <row s="1657" customFormat="1" customHeight="1" ht="11.549999999999999">
      <c r="A248" s="1003"/>
      <c r="B248" s="1652"/>
      <c r="C248" s="1652"/>
      <c r="D248" s="367"/>
      <c r="K248" s="1176"/>
      <c r="L248" s="1652"/>
      <c r="M248" s="1652"/>
      <c r="N248" s="1176"/>
      <c r="O248" s="1176"/>
      <c r="P248" s="1176"/>
      <c r="Q248" s="1176"/>
      <c r="R248" s="1652"/>
      <c r="S248" s="1176"/>
      <c r="T248" s="1176"/>
      <c r="U248" s="560"/>
      <c r="V248" s="1176"/>
      <c r="W248" s="1176"/>
      <c r="X248" s="1176"/>
      <c r="Y248" s="1176"/>
      <c r="Z248" s="1176"/>
      <c r="AA248" s="1648"/>
      <c r="AB248" s="582"/>
      <c r="AC248" s="582"/>
      <c r="AD248" s="582"/>
      <c r="AE248" s="582"/>
      <c r="AF248" s="1657">
        <v>11</v>
      </c>
    </row>
    <row s="1657" customFormat="1" customHeight="1" ht="11.549999999999999">
      <c r="A249" s="1003"/>
      <c r="B249" s="1652"/>
      <c r="C249" s="1652"/>
      <c r="D249" s="367"/>
      <c r="K249" s="1176"/>
      <c r="L249" s="1652"/>
      <c r="M249" s="1652"/>
      <c r="N249" s="1176"/>
      <c r="O249" s="1176"/>
      <c r="P249" s="1176"/>
      <c r="Q249" s="1176"/>
      <c r="R249" s="1652"/>
      <c r="S249" s="1176"/>
      <c r="T249" s="1176"/>
      <c r="U249" s="560"/>
      <c r="V249" s="1176"/>
      <c r="W249" s="1176"/>
      <c r="X249" s="1176"/>
      <c r="Y249" s="1176"/>
      <c r="Z249" s="1176"/>
      <c r="AA249" s="1648"/>
      <c r="AB249" s="582"/>
      <c r="AC249" s="582"/>
      <c r="AD249" s="582"/>
      <c r="AE249" s="582"/>
      <c r="AF249" s="1657">
        <v>11</v>
      </c>
    </row>
    <row s="1657" customFormat="1" customHeight="1" ht="11.549999999999999">
      <c r="A250" s="1003"/>
      <c r="B250" s="1652"/>
      <c r="C250" s="1652"/>
      <c r="D250" s="367"/>
      <c r="K250" s="1176"/>
      <c r="L250" s="1652"/>
      <c r="M250" s="1652"/>
      <c r="N250" s="1176"/>
      <c r="O250" s="1176"/>
      <c r="P250" s="1176"/>
      <c r="Q250" s="1176"/>
      <c r="R250" s="1652"/>
      <c r="S250" s="1176"/>
      <c r="T250" s="1176"/>
      <c r="U250" s="560"/>
      <c r="V250" s="1176"/>
      <c r="W250" s="1176"/>
      <c r="X250" s="1176"/>
      <c r="Y250" s="1176"/>
      <c r="Z250" s="1176"/>
      <c r="AA250" s="1648"/>
      <c r="AB250" s="582"/>
      <c r="AC250" s="582"/>
      <c r="AD250" s="582"/>
      <c r="AE250" s="582"/>
      <c r="AF250" s="1657">
        <v>11</v>
      </c>
    </row>
    <row s="1657" customFormat="1" customHeight="1" ht="11.549999999999999">
      <c r="A251" s="1003"/>
      <c r="B251" s="1652"/>
      <c r="C251" s="1652"/>
      <c r="D251" s="367"/>
      <c r="K251" s="1176"/>
      <c r="L251" s="1652"/>
      <c r="M251" s="1652"/>
      <c r="N251" s="1176"/>
      <c r="O251" s="1176"/>
      <c r="P251" s="1176"/>
      <c r="Q251" s="1176"/>
      <c r="R251" s="1652"/>
      <c r="S251" s="1176"/>
      <c r="T251" s="1176"/>
      <c r="U251" s="560"/>
      <c r="V251" s="1176"/>
      <c r="W251" s="1176"/>
      <c r="X251" s="1176"/>
      <c r="Y251" s="1176"/>
      <c r="Z251" s="1176"/>
      <c r="AA251" s="1648"/>
      <c r="AB251" s="582"/>
      <c r="AC251" s="582"/>
      <c r="AD251" s="582"/>
      <c r="AE251" s="582"/>
      <c r="AF251" s="1657">
        <v>11</v>
      </c>
    </row>
    <row s="1657" customFormat="1" customHeight="1" ht="11.549999999999999">
      <c r="A252" s="1003"/>
      <c r="B252" s="1652"/>
      <c r="C252" s="1652"/>
      <c r="D252" s="367"/>
      <c r="K252" s="1176"/>
      <c r="L252" s="1652"/>
      <c r="M252" s="1652"/>
      <c r="N252" s="1176"/>
      <c r="O252" s="1176"/>
      <c r="P252" s="1176"/>
      <c r="Q252" s="1176"/>
      <c r="R252" s="1652"/>
      <c r="S252" s="1176"/>
      <c r="T252" s="1176"/>
      <c r="U252" s="560"/>
      <c r="V252" s="1176"/>
      <c r="W252" s="1176"/>
      <c r="X252" s="1176"/>
      <c r="Y252" s="1176"/>
      <c r="Z252" s="1176"/>
      <c r="AA252" s="1648"/>
      <c r="AB252" s="582"/>
      <c r="AC252" s="582"/>
      <c r="AD252" s="582"/>
      <c r="AE252" s="582"/>
      <c r="AF252" s="1657">
        <v>11</v>
      </c>
    </row>
    <row s="1657" customFormat="1" customHeight="1" ht="11.549999999999999">
      <c r="A253" s="1003"/>
      <c r="B253" s="1652"/>
      <c r="C253" s="1652"/>
      <c r="D253" s="367"/>
      <c r="K253" s="1176"/>
      <c r="L253" s="1652"/>
      <c r="M253" s="1652"/>
      <c r="N253" s="1176"/>
      <c r="O253" s="1176"/>
      <c r="P253" s="1176"/>
      <c r="Q253" s="1176"/>
      <c r="R253" s="1652"/>
      <c r="S253" s="1176"/>
      <c r="T253" s="1176"/>
      <c r="U253" s="560"/>
      <c r="V253" s="1176"/>
      <c r="W253" s="1176"/>
      <c r="X253" s="1176"/>
      <c r="Y253" s="1176"/>
      <c r="Z253" s="1176"/>
      <c r="AA253" s="1648"/>
      <c r="AB253" s="582"/>
      <c r="AC253" s="582"/>
      <c r="AD253" s="582"/>
      <c r="AE253" s="582"/>
      <c r="AF253" s="1657">
        <v>11</v>
      </c>
    </row>
    <row s="1657" customFormat="1" customHeight="1" ht="11.549999999999999">
      <c r="A254" s="1003"/>
      <c r="B254" s="1652"/>
      <c r="C254" s="1652"/>
      <c r="D254" s="367"/>
      <c r="K254" s="1176"/>
      <c r="L254" s="1652"/>
      <c r="M254" s="1652"/>
      <c r="N254" s="1176"/>
      <c r="O254" s="1176"/>
      <c r="P254" s="1176"/>
      <c r="Q254" s="1176"/>
      <c r="R254" s="1652"/>
      <c r="S254" s="1176"/>
      <c r="T254" s="1176"/>
      <c r="U254" s="560"/>
      <c r="V254" s="1176"/>
      <c r="W254" s="1176"/>
      <c r="X254" s="1176"/>
      <c r="Y254" s="1176"/>
      <c r="Z254" s="1176"/>
      <c r="AA254" s="1648"/>
      <c r="AB254" s="582"/>
      <c r="AC254" s="582"/>
      <c r="AD254" s="582"/>
      <c r="AE254" s="582"/>
      <c r="AF254" s="1657">
        <v>11</v>
      </c>
    </row>
    <row s="1657" customFormat="1" customHeight="1" ht="11.549999999999999">
      <c r="A255" s="1003"/>
      <c r="B255" s="1652"/>
      <c r="C255" s="1652"/>
      <c r="D255" s="367"/>
      <c r="K255" s="1176"/>
      <c r="L255" s="1652"/>
      <c r="M255" s="1652"/>
      <c r="N255" s="1176"/>
      <c r="O255" s="1176"/>
      <c r="P255" s="1176"/>
      <c r="Q255" s="1176"/>
      <c r="R255" s="1652"/>
      <c r="S255" s="1176"/>
      <c r="T255" s="1176"/>
      <c r="U255" s="560"/>
      <c r="V255" s="1176"/>
      <c r="W255" s="1176"/>
      <c r="X255" s="1176"/>
      <c r="Y255" s="1176"/>
      <c r="Z255" s="1176"/>
      <c r="AA255" s="1648"/>
      <c r="AB255" s="582"/>
      <c r="AC255" s="582"/>
      <c r="AD255" s="582"/>
      <c r="AE255" s="582"/>
      <c r="AF255" s="1657">
        <v>11</v>
      </c>
    </row>
    <row s="1657" customFormat="1" customHeight="1" ht="11.549999999999999">
      <c r="A256" s="1003"/>
      <c r="B256" s="1652"/>
      <c r="C256" s="1652"/>
      <c r="D256" s="367"/>
      <c r="K256" s="1176"/>
      <c r="L256" s="1652"/>
      <c r="M256" s="1652"/>
      <c r="N256" s="1176"/>
      <c r="O256" s="1176"/>
      <c r="P256" s="1176"/>
      <c r="Q256" s="1176"/>
      <c r="R256" s="1652"/>
      <c r="S256" s="1176"/>
      <c r="T256" s="1176"/>
      <c r="U256" s="560"/>
      <c r="V256" s="1176"/>
      <c r="W256" s="1176"/>
      <c r="X256" s="1176"/>
      <c r="Y256" s="1176"/>
      <c r="Z256" s="1176"/>
      <c r="AA256" s="1648"/>
      <c r="AB256" s="582"/>
      <c r="AC256" s="582"/>
      <c r="AD256" s="582"/>
      <c r="AE256" s="582"/>
      <c r="AF256" s="1657">
        <v>11</v>
      </c>
    </row>
    <row s="1657" customFormat="1" customHeight="1" ht="11.549999999999999">
      <c r="A257" s="1003"/>
      <c r="B257" s="1652"/>
      <c r="C257" s="1652"/>
      <c r="D257" s="367"/>
      <c r="K257" s="1176"/>
      <c r="L257" s="1652"/>
      <c r="M257" s="1652"/>
      <c r="N257" s="1176"/>
      <c r="O257" s="1176"/>
      <c r="P257" s="1176"/>
      <c r="Q257" s="1176"/>
      <c r="R257" s="1652"/>
      <c r="S257" s="1176"/>
      <c r="T257" s="1176"/>
      <c r="U257" s="560"/>
      <c r="V257" s="1176"/>
      <c r="W257" s="1176"/>
      <c r="X257" s="1176"/>
      <c r="Y257" s="1176"/>
      <c r="Z257" s="1176"/>
      <c r="AA257" s="1648"/>
      <c r="AB257" s="582"/>
      <c r="AC257" s="582"/>
      <c r="AD257" s="582"/>
      <c r="AE257" s="582"/>
      <c r="AF257" s="1657">
        <v>11</v>
      </c>
    </row>
    <row s="1657" customFormat="1" customHeight="1" ht="11.549999999999999">
      <c r="A258" s="1003"/>
      <c r="B258" s="1652"/>
      <c r="C258" s="1652"/>
      <c r="D258" s="367"/>
      <c r="K258" s="1176"/>
      <c r="L258" s="1652"/>
      <c r="M258" s="1652"/>
      <c r="N258" s="1176"/>
      <c r="O258" s="1176"/>
      <c r="P258" s="1176"/>
      <c r="Q258" s="1176"/>
      <c r="R258" s="1652"/>
      <c r="S258" s="1176"/>
      <c r="T258" s="1176"/>
      <c r="U258" s="560"/>
      <c r="V258" s="1176"/>
      <c r="W258" s="1176"/>
      <c r="X258" s="1176"/>
      <c r="Y258" s="1176"/>
      <c r="Z258" s="1176"/>
      <c r="AA258" s="1648"/>
      <c r="AB258" s="582"/>
      <c r="AC258" s="582"/>
      <c r="AD258" s="582"/>
      <c r="AE258" s="582"/>
      <c r="AF258" s="1657">
        <v>11</v>
      </c>
    </row>
    <row s="1657" customFormat="1" customHeight="1" ht="11.549999999999999">
      <c r="A259" s="1003"/>
      <c r="B259" s="1652"/>
      <c r="C259" s="1652"/>
      <c r="D259" s="367"/>
      <c r="K259" s="1176"/>
      <c r="L259" s="1652"/>
      <c r="M259" s="1652"/>
      <c r="N259" s="1176"/>
      <c r="O259" s="1176"/>
      <c r="P259" s="1176"/>
      <c r="Q259" s="1176"/>
      <c r="R259" s="1652"/>
      <c r="S259" s="1176"/>
      <c r="T259" s="1176"/>
      <c r="U259" s="560"/>
      <c r="V259" s="1176"/>
      <c r="W259" s="1176"/>
      <c r="X259" s="1176"/>
      <c r="Y259" s="1176"/>
      <c r="Z259" s="1176"/>
      <c r="AA259" s="1648"/>
      <c r="AB259" s="582"/>
      <c r="AC259" s="582"/>
      <c r="AD259" s="582"/>
      <c r="AE259" s="582"/>
      <c r="AF259" s="1657">
        <v>11</v>
      </c>
    </row>
    <row s="1657" customFormat="1" customHeight="1" ht="11.549999999999999">
      <c r="A260" s="1003"/>
      <c r="B260" s="1652"/>
      <c r="C260" s="1652"/>
      <c r="D260" s="367"/>
      <c r="K260" s="1176"/>
      <c r="L260" s="1652"/>
      <c r="M260" s="1652"/>
      <c r="N260" s="1176"/>
      <c r="O260" s="1176"/>
      <c r="P260" s="1176"/>
      <c r="Q260" s="1176"/>
      <c r="R260" s="1652"/>
      <c r="S260" s="1176"/>
      <c r="T260" s="1176"/>
      <c r="U260" s="560"/>
      <c r="V260" s="1176"/>
      <c r="W260" s="1176"/>
      <c r="X260" s="1176"/>
      <c r="Y260" s="1176"/>
      <c r="Z260" s="1176"/>
      <c r="AA260" s="1648"/>
      <c r="AB260" s="582"/>
      <c r="AC260" s="582"/>
      <c r="AD260" s="582"/>
      <c r="AE260" s="582"/>
      <c r="AF260" s="1657">
        <v>11</v>
      </c>
    </row>
    <row s="1657" customFormat="1" customHeight="1" ht="11.549999999999999">
      <c r="A261" s="1003"/>
      <c r="B261" s="1652"/>
      <c r="C261" s="1652"/>
      <c r="D261" s="367"/>
      <c r="K261" s="1176"/>
      <c r="L261" s="1652"/>
      <c r="M261" s="1652"/>
      <c r="N261" s="1176"/>
      <c r="O261" s="1176"/>
      <c r="P261" s="1176"/>
      <c r="Q261" s="1176"/>
      <c r="R261" s="1652"/>
      <c r="S261" s="1176"/>
      <c r="T261" s="1176"/>
      <c r="U261" s="560"/>
      <c r="V261" s="1176"/>
      <c r="W261" s="1176"/>
      <c r="X261" s="1176"/>
      <c r="Y261" s="1176"/>
      <c r="Z261" s="1176"/>
      <c r="AA261" s="1648"/>
      <c r="AB261" s="582"/>
      <c r="AC261" s="582"/>
      <c r="AD261" s="582"/>
      <c r="AE261" s="582"/>
      <c r="AF261" s="1657">
        <v>11</v>
      </c>
    </row>
    <row s="1657" customFormat="1" customHeight="1" ht="11.549999999999999">
      <c r="A262" s="1003"/>
      <c r="B262" s="1652"/>
      <c r="C262" s="1652"/>
      <c r="D262" s="367"/>
      <c r="K262" s="1176"/>
      <c r="L262" s="1652"/>
      <c r="M262" s="1652"/>
      <c r="N262" s="1176"/>
      <c r="O262" s="1176"/>
      <c r="P262" s="1176"/>
      <c r="Q262" s="1176"/>
      <c r="R262" s="1652"/>
      <c r="S262" s="1176"/>
      <c r="T262" s="1176"/>
      <c r="U262" s="560"/>
      <c r="V262" s="1176"/>
      <c r="W262" s="1176"/>
      <c r="X262" s="1176"/>
      <c r="Y262" s="1176"/>
      <c r="Z262" s="1176"/>
      <c r="AA262" s="1648"/>
      <c r="AB262" s="582"/>
      <c r="AC262" s="582"/>
      <c r="AD262" s="582"/>
      <c r="AE262" s="582"/>
      <c r="AF262" s="1657">
        <v>11</v>
      </c>
    </row>
    <row s="1657" customFormat="1" customHeight="1" ht="11.549999999999999">
      <c r="A263" s="1003"/>
      <c r="B263" s="1652"/>
      <c r="C263" s="1652"/>
      <c r="D263" s="367"/>
      <c r="K263" s="1176"/>
      <c r="L263" s="1652"/>
      <c r="M263" s="1652"/>
      <c r="N263" s="1176"/>
      <c r="O263" s="1176"/>
      <c r="P263" s="1176"/>
      <c r="Q263" s="1176"/>
      <c r="R263" s="1652"/>
      <c r="S263" s="1176"/>
      <c r="T263" s="1176"/>
      <c r="U263" s="560"/>
      <c r="V263" s="1176"/>
      <c r="W263" s="1176"/>
      <c r="X263" s="1176"/>
      <c r="Y263" s="1176"/>
      <c r="Z263" s="1176"/>
      <c r="AA263" s="1648"/>
      <c r="AB263" s="582"/>
      <c r="AC263" s="582"/>
      <c r="AD263" s="582"/>
      <c r="AE263" s="582"/>
      <c r="AF263" s="1657">
        <v>11</v>
      </c>
    </row>
    <row s="1657" customFormat="1" customHeight="1" ht="11.549999999999999">
      <c r="A264" s="1003"/>
      <c r="B264" s="1652"/>
      <c r="C264" s="1652"/>
      <c r="D264" s="367"/>
      <c r="K264" s="1176"/>
      <c r="L264" s="1652"/>
      <c r="M264" s="1652"/>
      <c r="N264" s="1176"/>
      <c r="O264" s="1176"/>
      <c r="P264" s="1176"/>
      <c r="Q264" s="1176"/>
      <c r="R264" s="1652"/>
      <c r="S264" s="1176"/>
      <c r="T264" s="1176"/>
      <c r="U264" s="560"/>
      <c r="V264" s="1176"/>
      <c r="W264" s="1176"/>
      <c r="X264" s="1176"/>
      <c r="Y264" s="1176"/>
      <c r="Z264" s="1176"/>
      <c r="AA264" s="1648"/>
      <c r="AB264" s="582"/>
      <c r="AC264" s="582"/>
      <c r="AD264" s="582"/>
      <c r="AE264" s="582"/>
      <c r="AF264" s="1657">
        <v>11</v>
      </c>
    </row>
    <row s="1657" customFormat="1" customHeight="1" ht="11.549999999999999">
      <c r="A265" s="1003"/>
      <c r="B265" s="1652"/>
      <c r="C265" s="1652"/>
      <c r="D265" s="367"/>
      <c r="K265" s="1176"/>
      <c r="L265" s="1652"/>
      <c r="M265" s="1652"/>
      <c r="N265" s="1176"/>
      <c r="O265" s="1176"/>
      <c r="P265" s="1176"/>
      <c r="Q265" s="1176"/>
      <c r="R265" s="1652"/>
      <c r="S265" s="1176"/>
      <c r="T265" s="1176"/>
      <c r="U265" s="560"/>
      <c r="V265" s="1176"/>
      <c r="W265" s="1176"/>
      <c r="X265" s="1176"/>
      <c r="Y265" s="1176"/>
      <c r="Z265" s="1176"/>
      <c r="AA265" s="1648"/>
      <c r="AB265" s="582"/>
      <c r="AC265" s="582"/>
      <c r="AD265" s="582"/>
      <c r="AE265" s="582"/>
      <c r="AF265" s="1657">
        <v>11</v>
      </c>
    </row>
    <row s="1657" customFormat="1" customHeight="1" ht="11.549999999999999">
      <c r="A266" s="1003"/>
      <c r="B266" s="1652"/>
      <c r="C266" s="1652"/>
      <c r="D266" s="367"/>
      <c r="K266" s="1176"/>
      <c r="L266" s="1652"/>
      <c r="M266" s="1652"/>
      <c r="N266" s="1176"/>
      <c r="O266" s="1176"/>
      <c r="P266" s="1176"/>
      <c r="Q266" s="1176"/>
      <c r="R266" s="1652"/>
      <c r="S266" s="1176"/>
      <c r="T266" s="1176"/>
      <c r="U266" s="560"/>
      <c r="V266" s="1176"/>
      <c r="W266" s="1176"/>
      <c r="X266" s="1176"/>
      <c r="Y266" s="1176"/>
      <c r="Z266" s="1176"/>
      <c r="AA266" s="1648"/>
      <c r="AB266" s="582"/>
      <c r="AC266" s="582"/>
      <c r="AD266" s="582"/>
      <c r="AE266" s="582"/>
      <c r="AF266" s="1657">
        <v>11</v>
      </c>
    </row>
    <row s="1657" customFormat="1" customHeight="1" ht="11.549999999999999">
      <c r="A267" s="1003"/>
      <c r="B267" s="1652"/>
      <c r="C267" s="1652"/>
      <c r="D267" s="367"/>
      <c r="K267" s="1176"/>
      <c r="L267" s="1652"/>
      <c r="M267" s="1652"/>
      <c r="N267" s="1176"/>
      <c r="O267" s="1176"/>
      <c r="P267" s="1176"/>
      <c r="Q267" s="1176"/>
      <c r="R267" s="1652"/>
      <c r="S267" s="1176"/>
      <c r="T267" s="1176"/>
      <c r="U267" s="560"/>
      <c r="V267" s="1176"/>
      <c r="W267" s="1176"/>
      <c r="X267" s="1176"/>
      <c r="Y267" s="1176"/>
      <c r="Z267" s="1176"/>
      <c r="AA267" s="1648"/>
      <c r="AB267" s="582"/>
      <c r="AC267" s="582"/>
      <c r="AD267" s="582"/>
      <c r="AE267" s="582"/>
      <c r="AF267" s="1657">
        <v>11</v>
      </c>
    </row>
    <row s="1657" customFormat="1" customHeight="1" ht="11.549999999999999">
      <c r="A268" s="1003"/>
      <c r="B268" s="1652"/>
      <c r="C268" s="1652"/>
      <c r="D268" s="367"/>
      <c r="K268" s="1176"/>
      <c r="L268" s="1652"/>
      <c r="M268" s="1652"/>
      <c r="N268" s="1176"/>
      <c r="O268" s="1176"/>
      <c r="P268" s="1176"/>
      <c r="Q268" s="1176"/>
      <c r="R268" s="1652"/>
      <c r="S268" s="1176"/>
      <c r="T268" s="1176"/>
      <c r="U268" s="560"/>
      <c r="V268" s="1176"/>
      <c r="W268" s="1176"/>
      <c r="X268" s="1176"/>
      <c r="Y268" s="1176"/>
      <c r="Z268" s="1176"/>
      <c r="AA268" s="1648"/>
      <c r="AB268" s="582"/>
      <c r="AC268" s="582"/>
      <c r="AD268" s="582"/>
      <c r="AE268" s="582"/>
      <c r="AF268" s="1657">
        <v>11</v>
      </c>
    </row>
    <row s="1657" customFormat="1" customHeight="1" ht="11.549999999999999">
      <c r="A269" s="1003"/>
      <c r="B269" s="1652"/>
      <c r="C269" s="1652"/>
      <c r="D269" s="367"/>
      <c r="K269" s="1176"/>
      <c r="L269" s="1652"/>
      <c r="M269" s="1652"/>
      <c r="N269" s="1176"/>
      <c r="O269" s="1176"/>
      <c r="P269" s="1176"/>
      <c r="Q269" s="1176"/>
      <c r="R269" s="1652"/>
      <c r="S269" s="1176"/>
      <c r="T269" s="1176"/>
      <c r="U269" s="560"/>
      <c r="V269" s="1176"/>
      <c r="W269" s="1176"/>
      <c r="X269" s="1176"/>
      <c r="Y269" s="1176"/>
      <c r="Z269" s="1176"/>
      <c r="AA269" s="1648"/>
      <c r="AB269" s="582"/>
      <c r="AC269" s="582"/>
      <c r="AD269" s="582"/>
      <c r="AE269" s="582"/>
      <c r="AF269" s="1657">
        <v>11</v>
      </c>
    </row>
    <row s="1657" customFormat="1" customHeight="1" ht="11.549999999999999">
      <c r="A270" s="1003"/>
      <c r="B270" s="1652"/>
      <c r="C270" s="1652"/>
      <c r="D270" s="367"/>
      <c r="K270" s="1176"/>
      <c r="L270" s="1652"/>
      <c r="M270" s="1652"/>
      <c r="N270" s="1176"/>
      <c r="O270" s="1176"/>
      <c r="P270" s="1176"/>
      <c r="Q270" s="1176"/>
      <c r="R270" s="1652"/>
      <c r="S270" s="1176"/>
      <c r="T270" s="1176"/>
      <c r="U270" s="560"/>
      <c r="V270" s="1176"/>
      <c r="W270" s="1176"/>
      <c r="X270" s="1176"/>
      <c r="Y270" s="1176"/>
      <c r="Z270" s="1176"/>
      <c r="AA270" s="1648"/>
      <c r="AB270" s="582"/>
      <c r="AC270" s="582"/>
      <c r="AD270" s="582"/>
      <c r="AE270" s="582"/>
      <c r="AF270" s="1657">
        <v>11</v>
      </c>
    </row>
    <row s="1657" customFormat="1" customHeight="1" ht="11.549999999999999">
      <c r="A271" s="1003"/>
      <c r="B271" s="1652"/>
      <c r="C271" s="1652"/>
      <c r="D271" s="367"/>
      <c r="K271" s="1176"/>
      <c r="L271" s="1652"/>
      <c r="M271" s="1652"/>
      <c r="N271" s="1176"/>
      <c r="O271" s="1176"/>
      <c r="P271" s="1176"/>
      <c r="Q271" s="1176"/>
      <c r="R271" s="1652"/>
      <c r="S271" s="1176"/>
      <c r="T271" s="1176"/>
      <c r="U271" s="560"/>
      <c r="V271" s="1176"/>
      <c r="W271" s="1176"/>
      <c r="X271" s="1176"/>
      <c r="Y271" s="1176"/>
      <c r="Z271" s="1176"/>
      <c r="AA271" s="1648"/>
      <c r="AB271" s="582"/>
      <c r="AC271" s="582"/>
      <c r="AD271" s="582"/>
      <c r="AE271" s="582"/>
      <c r="AF271" s="1657">
        <v>11</v>
      </c>
    </row>
    <row s="1657" customFormat="1" customHeight="1" ht="11.549999999999999">
      <c r="A272" s="1003"/>
      <c r="B272" s="1652"/>
      <c r="C272" s="1652"/>
      <c r="D272" s="367"/>
      <c r="K272" s="1176"/>
      <c r="L272" s="1652"/>
      <c r="M272" s="1652"/>
      <c r="N272" s="1176"/>
      <c r="O272" s="1176"/>
      <c r="P272" s="1176"/>
      <c r="Q272" s="1176"/>
      <c r="R272" s="1652"/>
      <c r="S272" s="1176"/>
      <c r="T272" s="1176"/>
      <c r="U272" s="560"/>
      <c r="V272" s="1176"/>
      <c r="W272" s="1176"/>
      <c r="X272" s="1176"/>
      <c r="Y272" s="1176"/>
      <c r="Z272" s="1176"/>
      <c r="AA272" s="1648"/>
      <c r="AB272" s="582"/>
      <c r="AC272" s="582"/>
      <c r="AD272" s="582"/>
      <c r="AE272" s="582"/>
      <c r="AF272" s="1657">
        <v>11</v>
      </c>
    </row>
    <row s="1657" customFormat="1" customHeight="1" ht="11.549999999999999">
      <c r="A273" s="1003"/>
      <c r="B273" s="1652"/>
      <c r="C273" s="1652"/>
      <c r="D273" s="367"/>
      <c r="K273" s="1176"/>
      <c r="L273" s="1652"/>
      <c r="M273" s="1652"/>
      <c r="N273" s="1176"/>
      <c r="O273" s="1176"/>
      <c r="P273" s="1176"/>
      <c r="Q273" s="1176"/>
      <c r="R273" s="1652"/>
      <c r="S273" s="1176"/>
      <c r="T273" s="1176"/>
      <c r="U273" s="560"/>
      <c r="V273" s="1176"/>
      <c r="W273" s="1176"/>
      <c r="X273" s="1176"/>
      <c r="Y273" s="1176"/>
      <c r="Z273" s="1176"/>
      <c r="AA273" s="1648"/>
      <c r="AB273" s="582"/>
      <c r="AC273" s="582"/>
      <c r="AD273" s="582"/>
      <c r="AE273" s="582"/>
      <c r="AF273" s="1657">
        <v>11</v>
      </c>
    </row>
    <row s="1657" customFormat="1" customHeight="1" ht="11.549999999999999">
      <c r="A274" s="1003"/>
      <c r="B274" s="1652"/>
      <c r="C274" s="1652"/>
      <c r="D274" s="367"/>
      <c r="K274" s="1176"/>
      <c r="L274" s="1652"/>
      <c r="M274" s="1652"/>
      <c r="N274" s="1176"/>
      <c r="O274" s="1176"/>
      <c r="P274" s="1176"/>
      <c r="Q274" s="1176"/>
      <c r="R274" s="1652"/>
      <c r="S274" s="1176"/>
      <c r="T274" s="1176"/>
      <c r="U274" s="560"/>
      <c r="V274" s="1176"/>
      <c r="W274" s="1176"/>
      <c r="X274" s="1176"/>
      <c r="Y274" s="1176"/>
      <c r="Z274" s="1176"/>
      <c r="AA274" s="1648"/>
      <c r="AB274" s="582"/>
      <c r="AC274" s="582"/>
      <c r="AD274" s="582"/>
      <c r="AE274" s="582"/>
      <c r="AF274" s="1657">
        <v>11</v>
      </c>
    </row>
    <row s="1657" customFormat="1" customHeight="1" ht="11.549999999999999">
      <c r="A275" s="1003"/>
      <c r="B275" s="1652"/>
      <c r="C275" s="1652"/>
      <c r="D275" s="367"/>
      <c r="K275" s="1176"/>
      <c r="L275" s="1652"/>
      <c r="M275" s="1652"/>
      <c r="N275" s="1176"/>
      <c r="O275" s="1176"/>
      <c r="P275" s="1176"/>
      <c r="Q275" s="1176"/>
      <c r="R275" s="1652"/>
      <c r="S275" s="1176"/>
      <c r="T275" s="1176"/>
      <c r="U275" s="560"/>
      <c r="V275" s="1176"/>
      <c r="W275" s="1176"/>
      <c r="X275" s="1176"/>
      <c r="Y275" s="1176"/>
      <c r="Z275" s="1176"/>
      <c r="AA275" s="1648"/>
      <c r="AB275" s="582"/>
      <c r="AC275" s="582"/>
      <c r="AD275" s="582"/>
      <c r="AE275" s="582"/>
      <c r="AF275" s="1657">
        <v>11</v>
      </c>
    </row>
    <row s="1657" customFormat="1" customHeight="1" ht="11.549999999999999">
      <c r="A276" s="1003"/>
      <c r="B276" s="1652"/>
      <c r="C276" s="1652"/>
      <c r="D276" s="367"/>
      <c r="K276" s="1176"/>
      <c r="L276" s="1652"/>
      <c r="M276" s="1652"/>
      <c r="N276" s="1176"/>
      <c r="O276" s="1176"/>
      <c r="P276" s="1176"/>
      <c r="Q276" s="1176"/>
      <c r="R276" s="1652"/>
      <c r="S276" s="1176"/>
      <c r="T276" s="1176"/>
      <c r="U276" s="560"/>
      <c r="V276" s="1176"/>
      <c r="W276" s="1176"/>
      <c r="X276" s="1176"/>
      <c r="Y276" s="1176"/>
      <c r="Z276" s="1176"/>
      <c r="AA276" s="1648"/>
      <c r="AB276" s="582"/>
      <c r="AC276" s="582"/>
      <c r="AD276" s="582"/>
      <c r="AE276" s="582"/>
      <c r="AF276" s="1657">
        <v>11</v>
      </c>
    </row>
    <row s="1657" customFormat="1" customHeight="1" ht="11.549999999999999">
      <c r="A277" s="1003"/>
      <c r="B277" s="1652"/>
      <c r="C277" s="1652"/>
      <c r="D277" s="367"/>
      <c r="K277" s="1176"/>
      <c r="L277" s="1652"/>
      <c r="M277" s="1652"/>
      <c r="N277" s="1176"/>
      <c r="O277" s="1176"/>
      <c r="P277" s="1176"/>
      <c r="Q277" s="1176"/>
      <c r="R277" s="1652"/>
      <c r="S277" s="1176"/>
      <c r="T277" s="1176"/>
      <c r="U277" s="560"/>
      <c r="V277" s="1176"/>
      <c r="W277" s="1176"/>
      <c r="X277" s="1176"/>
      <c r="Y277" s="1176"/>
      <c r="Z277" s="1176"/>
      <c r="AA277" s="1648"/>
      <c r="AB277" s="582"/>
      <c r="AC277" s="582"/>
      <c r="AD277" s="582"/>
      <c r="AE277" s="582"/>
      <c r="AF277" s="1657">
        <v>11</v>
      </c>
    </row>
    <row s="1657" customFormat="1" customHeight="1" ht="11.549999999999999">
      <c r="A278" s="1003"/>
      <c r="B278" s="1652"/>
      <c r="C278" s="1652"/>
      <c r="D278" s="367"/>
      <c r="K278" s="1176"/>
      <c r="L278" s="1652"/>
      <c r="M278" s="1652"/>
      <c r="N278" s="1176"/>
      <c r="O278" s="1176"/>
      <c r="P278" s="1176"/>
      <c r="Q278" s="1176"/>
      <c r="R278" s="1652"/>
      <c r="S278" s="1176"/>
      <c r="T278" s="1176"/>
      <c r="U278" s="560"/>
      <c r="V278" s="1176"/>
      <c r="W278" s="1176"/>
      <c r="X278" s="1176"/>
      <c r="Y278" s="1176"/>
      <c r="Z278" s="1176"/>
      <c r="AA278" s="1648"/>
      <c r="AB278" s="582"/>
      <c r="AC278" s="582"/>
      <c r="AD278" s="582"/>
      <c r="AE278" s="582"/>
      <c r="AF278" s="1657">
        <v>11</v>
      </c>
    </row>
    <row s="1657" customFormat="1" customHeight="1" ht="11.549999999999999">
      <c r="A279" s="1003"/>
      <c r="B279" s="1652"/>
      <c r="C279" s="1652"/>
      <c r="D279" s="367"/>
      <c r="K279" s="1176"/>
      <c r="L279" s="1652"/>
      <c r="M279" s="1652"/>
      <c r="N279" s="1176"/>
      <c r="O279" s="1176"/>
      <c r="P279" s="1176"/>
      <c r="Q279" s="1176"/>
      <c r="R279" s="1652"/>
      <c r="S279" s="1176"/>
      <c r="T279" s="1176"/>
      <c r="U279" s="560"/>
      <c r="V279" s="1176"/>
      <c r="W279" s="1176"/>
      <c r="X279" s="1176"/>
      <c r="Y279" s="1176"/>
      <c r="Z279" s="1176"/>
      <c r="AA279" s="1648"/>
      <c r="AB279" s="582"/>
      <c r="AC279" s="582"/>
      <c r="AD279" s="582"/>
      <c r="AE279" s="582"/>
      <c r="AF279" s="1657">
        <v>11</v>
      </c>
    </row>
    <row s="1657" customFormat="1" customHeight="1" ht="11.549999999999999">
      <c r="A280" s="1003"/>
      <c r="B280" s="1652"/>
      <c r="C280" s="1652"/>
      <c r="D280" s="367"/>
      <c r="K280" s="1176"/>
      <c r="L280" s="1652"/>
      <c r="M280" s="1652"/>
      <c r="N280" s="1176"/>
      <c r="O280" s="1176"/>
      <c r="P280" s="1176"/>
      <c r="Q280" s="1176"/>
      <c r="R280" s="1652"/>
      <c r="S280" s="1176"/>
      <c r="T280" s="1176"/>
      <c r="U280" s="560"/>
      <c r="V280" s="1176"/>
      <c r="W280" s="1176"/>
      <c r="X280" s="1176"/>
      <c r="Y280" s="1176"/>
      <c r="Z280" s="1176"/>
      <c r="AA280" s="1648"/>
      <c r="AB280" s="582"/>
      <c r="AC280" s="582"/>
      <c r="AD280" s="582"/>
      <c r="AE280" s="582"/>
      <c r="AF280" s="1657">
        <v>11</v>
      </c>
    </row>
    <row s="1657" customFormat="1" customHeight="1" ht="11.549999999999999">
      <c r="A281" s="1003"/>
      <c r="B281" s="1652"/>
      <c r="C281" s="1652"/>
      <c r="D281" s="367"/>
      <c r="K281" s="1176"/>
      <c r="L281" s="1652"/>
      <c r="M281" s="1652"/>
      <c r="N281" s="1176"/>
      <c r="O281" s="1176"/>
      <c r="P281" s="1176"/>
      <c r="Q281" s="1176"/>
      <c r="R281" s="1652"/>
      <c r="S281" s="1176"/>
      <c r="T281" s="1176"/>
      <c r="U281" s="560"/>
      <c r="V281" s="1176"/>
      <c r="W281" s="1176"/>
      <c r="X281" s="1176"/>
      <c r="Y281" s="1176"/>
      <c r="Z281" s="1176"/>
      <c r="AA281" s="1648"/>
      <c r="AB281" s="582"/>
      <c r="AC281" s="582"/>
      <c r="AD281" s="582"/>
      <c r="AE281" s="582"/>
      <c r="AF281" s="1657">
        <v>11</v>
      </c>
    </row>
    <row s="1657" customFormat="1" customHeight="1" ht="11.549999999999999">
      <c r="A282" s="1003"/>
      <c r="B282" s="1652"/>
      <c r="C282" s="1652"/>
      <c r="D282" s="367"/>
      <c r="K282" s="1176"/>
      <c r="L282" s="1652"/>
      <c r="M282" s="1652"/>
      <c r="N282" s="1176"/>
      <c r="O282" s="1176"/>
      <c r="P282" s="1176"/>
      <c r="Q282" s="1176"/>
      <c r="R282" s="1652"/>
      <c r="S282" s="1176"/>
      <c r="T282" s="1176"/>
      <c r="U282" s="560"/>
      <c r="V282" s="1176"/>
      <c r="W282" s="1176"/>
      <c r="X282" s="1176"/>
      <c r="Y282" s="1176"/>
      <c r="Z282" s="1176"/>
      <c r="AA282" s="1648"/>
      <c r="AB282" s="582"/>
      <c r="AC282" s="582"/>
      <c r="AD282" s="582"/>
      <c r="AE282" s="582"/>
      <c r="AF282" s="1657">
        <v>11</v>
      </c>
    </row>
    <row s="1657" customFormat="1" customHeight="1" ht="11.549999999999999">
      <c r="A283" s="1003"/>
      <c r="B283" s="1652"/>
      <c r="C283" s="1652"/>
      <c r="D283" s="367"/>
      <c r="K283" s="1176"/>
      <c r="L283" s="1652"/>
      <c r="M283" s="1652"/>
      <c r="N283" s="1176"/>
      <c r="O283" s="1176"/>
      <c r="P283" s="1176"/>
      <c r="Q283" s="1176"/>
      <c r="R283" s="1652"/>
      <c r="S283" s="1176"/>
      <c r="T283" s="1176"/>
      <c r="U283" s="560"/>
      <c r="V283" s="1176"/>
      <c r="W283" s="1176"/>
      <c r="X283" s="1176"/>
      <c r="Y283" s="1176"/>
      <c r="Z283" s="1176"/>
      <c r="AA283" s="1648"/>
      <c r="AB283" s="582"/>
      <c r="AC283" s="582"/>
      <c r="AD283" s="582"/>
      <c r="AE283" s="582"/>
      <c r="AF283" s="1657">
        <v>11</v>
      </c>
    </row>
    <row s="1657" customFormat="1" customHeight="1" ht="11.549999999999999">
      <c r="A284" s="1003"/>
      <c r="B284" s="1652"/>
      <c r="C284" s="1652"/>
      <c r="D284" s="367"/>
      <c r="K284" s="1176"/>
      <c r="L284" s="1652"/>
      <c r="M284" s="1652"/>
      <c r="N284" s="1176"/>
      <c r="O284" s="1176"/>
      <c r="P284" s="1176"/>
      <c r="Q284" s="1176"/>
      <c r="R284" s="1652"/>
      <c r="S284" s="1176"/>
      <c r="T284" s="1176"/>
      <c r="U284" s="560"/>
      <c r="V284" s="1176"/>
      <c r="W284" s="1176"/>
      <c r="X284" s="1176"/>
      <c r="Y284" s="1176"/>
      <c r="Z284" s="1176"/>
      <c r="AA284" s="1648"/>
      <c r="AB284" s="582"/>
      <c r="AC284" s="582"/>
      <c r="AD284" s="582"/>
      <c r="AE284" s="582"/>
      <c r="AF284" s="1657">
        <v>11</v>
      </c>
    </row>
    <row s="1657" customFormat="1" customHeight="1" ht="11.549999999999999">
      <c r="A285" s="1003"/>
      <c r="B285" s="1652"/>
      <c r="C285" s="1652"/>
      <c r="D285" s="367"/>
      <c r="K285" s="1176"/>
      <c r="L285" s="1652"/>
      <c r="M285" s="1652"/>
      <c r="N285" s="1176"/>
      <c r="O285" s="1176"/>
      <c r="P285" s="1176"/>
      <c r="Q285" s="1176"/>
      <c r="R285" s="1652"/>
      <c r="S285" s="1176"/>
      <c r="T285" s="1176"/>
      <c r="U285" s="560"/>
      <c r="V285" s="1176"/>
      <c r="W285" s="1176"/>
      <c r="X285" s="1176"/>
      <c r="Y285" s="1176"/>
      <c r="Z285" s="1176"/>
      <c r="AA285" s="1648"/>
      <c r="AB285" s="582"/>
      <c r="AC285" s="582"/>
      <c r="AD285" s="582"/>
      <c r="AE285" s="582"/>
      <c r="AF285" s="1657">
        <v>11</v>
      </c>
    </row>
    <row s="1657" customFormat="1" customHeight="1" ht="11.549999999999999">
      <c r="A286" s="1003"/>
      <c r="B286" s="1652"/>
      <c r="C286" s="1652"/>
      <c r="D286" s="367"/>
      <c r="K286" s="1176"/>
      <c r="L286" s="1652"/>
      <c r="M286" s="1652"/>
      <c r="N286" s="1176"/>
      <c r="O286" s="1176"/>
      <c r="P286" s="1176"/>
      <c r="Q286" s="1176"/>
      <c r="R286" s="1652"/>
      <c r="S286" s="1176"/>
      <c r="T286" s="1176"/>
      <c r="U286" s="560"/>
      <c r="V286" s="1176"/>
      <c r="W286" s="1176"/>
      <c r="X286" s="1176"/>
      <c r="Y286" s="1176"/>
      <c r="Z286" s="1176"/>
      <c r="AA286" s="1648"/>
      <c r="AB286" s="582"/>
      <c r="AC286" s="582"/>
      <c r="AD286" s="582"/>
      <c r="AE286" s="582"/>
      <c r="AF286" s="1657">
        <v>11</v>
      </c>
    </row>
    <row s="1657" customFormat="1" customHeight="1" ht="11.549999999999999">
      <c r="A287" s="1003"/>
      <c r="B287" s="1652"/>
      <c r="C287" s="1652"/>
      <c r="D287" s="367"/>
      <c r="K287" s="1176"/>
      <c r="L287" s="1652"/>
      <c r="M287" s="1652"/>
      <c r="N287" s="1176"/>
      <c r="O287" s="1176"/>
      <c r="P287" s="1176"/>
      <c r="Q287" s="1176"/>
      <c r="R287" s="1652"/>
      <c r="S287" s="1176"/>
      <c r="T287" s="1176"/>
      <c r="U287" s="560"/>
      <c r="V287" s="1176"/>
      <c r="W287" s="1176"/>
      <c r="X287" s="1176"/>
      <c r="Y287" s="1176"/>
      <c r="Z287" s="1176"/>
      <c r="AA287" s="1648"/>
      <c r="AB287" s="582"/>
      <c r="AC287" s="582"/>
      <c r="AD287" s="582"/>
      <c r="AE287" s="582"/>
      <c r="AF287" s="1657">
        <v>11</v>
      </c>
    </row>
    <row s="1657" customFormat="1" customHeight="1" ht="11.549999999999999">
      <c r="A288" s="1003"/>
      <c r="B288" s="1652"/>
      <c r="C288" s="1652"/>
      <c r="D288" s="367"/>
      <c r="K288" s="1176"/>
      <c r="L288" s="1652"/>
      <c r="M288" s="1652"/>
      <c r="N288" s="1176"/>
      <c r="O288" s="1176"/>
      <c r="P288" s="1176"/>
      <c r="Q288" s="1176"/>
      <c r="R288" s="1652"/>
      <c r="S288" s="1176"/>
      <c r="T288" s="1176"/>
      <c r="U288" s="560"/>
      <c r="V288" s="1176"/>
      <c r="W288" s="1176"/>
      <c r="X288" s="1176"/>
      <c r="Y288" s="1176"/>
      <c r="Z288" s="1176"/>
      <c r="AA288" s="1648"/>
      <c r="AB288" s="582"/>
      <c r="AC288" s="582"/>
      <c r="AD288" s="582"/>
      <c r="AE288" s="582"/>
      <c r="AF288" s="1657">
        <v>11</v>
      </c>
    </row>
    <row customHeight="1" ht="11.549999999999999">
      <c r="AF289" s="1647">
        <v>11</v>
      </c>
    </row>
    <row customHeight="1" ht="11.549999999999999">
      <c r="AF290" s="1647">
        <v>11</v>
      </c>
    </row>
    <row customHeight="1" ht="11.549999999999999">
      <c r="AF291" s="1647">
        <v>11</v>
      </c>
    </row>
    <row customHeight="1" ht="11.549999999999999">
      <c r="A292" s="1006"/>
      <c r="B292" s="1647"/>
      <c r="D292" s="1647"/>
      <c r="K292" s="1647"/>
      <c r="N292" s="1647"/>
      <c r="O292" s="1647"/>
      <c r="P292" s="1647"/>
      <c r="Q292" s="1647"/>
      <c r="S292" s="1647"/>
      <c r="T292" s="1647"/>
      <c r="U292" s="1647"/>
      <c r="V292" s="1647"/>
      <c r="W292" s="1647"/>
      <c r="X292" s="1647"/>
      <c r="Y292" s="1647"/>
      <c r="Z292" s="1647"/>
      <c r="AA292" s="1647"/>
      <c r="AB292" s="1647"/>
      <c r="AC292" s="1647"/>
      <c r="AD292" s="1647"/>
      <c r="AE292" s="1647"/>
      <c r="AF292" s="1647">
        <v>11</v>
      </c>
    </row>
    <row customHeight="1" ht="11.549999999999999">
      <c r="A293" s="1006"/>
      <c r="B293" s="1647"/>
      <c r="D293" s="1647"/>
      <c r="K293" s="1647"/>
      <c r="N293" s="1647"/>
      <c r="O293" s="1647"/>
      <c r="P293" s="1647"/>
      <c r="Q293" s="1647"/>
      <c r="S293" s="1647"/>
      <c r="T293" s="1647"/>
      <c r="U293" s="1647"/>
      <c r="V293" s="1647"/>
      <c r="W293" s="1647"/>
      <c r="X293" s="1647"/>
      <c r="Y293" s="1647"/>
      <c r="Z293" s="1647"/>
      <c r="AA293" s="1647"/>
      <c r="AB293" s="1647"/>
      <c r="AC293" s="1647"/>
      <c r="AD293" s="1647"/>
      <c r="AE293" s="1647"/>
      <c r="AF293" s="1647">
        <v>11</v>
      </c>
    </row>
    <row customHeight="1" ht="11.549999999999999">
      <c r="A294" s="1006"/>
      <c r="B294" s="1647"/>
      <c r="D294" s="1647"/>
      <c r="K294" s="1647"/>
      <c r="N294" s="1647"/>
      <c r="O294" s="1647"/>
      <c r="P294" s="1647"/>
      <c r="Q294" s="1647"/>
      <c r="S294" s="1647"/>
      <c r="T294" s="1647"/>
      <c r="U294" s="1647"/>
      <c r="V294" s="1647"/>
      <c r="W294" s="1647"/>
      <c r="X294" s="1647"/>
      <c r="Y294" s="1647"/>
      <c r="Z294" s="1647"/>
      <c r="AA294" s="1647"/>
      <c r="AB294" s="1647"/>
      <c r="AC294" s="1647"/>
      <c r="AD294" s="1647"/>
      <c r="AE294" s="1647"/>
      <c r="AF294" s="1647">
        <v>11</v>
      </c>
    </row>
    <row customHeight="1" ht="11.549999999999999">
      <c r="A295" s="1006"/>
      <c r="B295" s="1647"/>
      <c r="D295" s="1647"/>
      <c r="K295" s="1647"/>
      <c r="N295" s="1647"/>
      <c r="O295" s="1647"/>
      <c r="P295" s="1647"/>
      <c r="Q295" s="1647"/>
      <c r="S295" s="1647"/>
      <c r="T295" s="1647"/>
      <c r="U295" s="1647"/>
      <c r="V295" s="1647"/>
      <c r="W295" s="1647"/>
      <c r="X295" s="1647"/>
      <c r="Y295" s="1647"/>
      <c r="Z295" s="1647"/>
      <c r="AA295" s="1647"/>
      <c r="AB295" s="1647"/>
      <c r="AC295" s="1647"/>
      <c r="AD295" s="1647"/>
      <c r="AE295" s="1647"/>
      <c r="AF295" s="1647">
        <v>11</v>
      </c>
    </row>
    <row customHeight="1" ht="11.549999999999999">
      <c r="A296" s="1006"/>
      <c r="B296" s="1647"/>
      <c r="D296" s="1647"/>
      <c r="K296" s="1647"/>
      <c r="N296" s="1647"/>
      <c r="O296" s="1647"/>
      <c r="P296" s="1647"/>
      <c r="Q296" s="1647"/>
      <c r="S296" s="1647"/>
      <c r="T296" s="1647"/>
      <c r="U296" s="1647"/>
      <c r="V296" s="1647"/>
      <c r="W296" s="1647"/>
      <c r="X296" s="1647"/>
      <c r="Y296" s="1647"/>
      <c r="Z296" s="1647"/>
      <c r="AA296" s="1647"/>
      <c r="AB296" s="1647"/>
      <c r="AC296" s="1647"/>
      <c r="AD296" s="1647"/>
      <c r="AE296" s="1647"/>
      <c r="AF296" s="1647">
        <v>11</v>
      </c>
    </row>
    <row customHeight="1" ht="11.549999999999999">
      <c r="A297" s="1006"/>
      <c r="B297" s="1647"/>
      <c r="D297" s="1647"/>
      <c r="K297" s="1647"/>
      <c r="N297" s="1647"/>
      <c r="O297" s="1647"/>
      <c r="P297" s="1647"/>
      <c r="Q297" s="1647"/>
      <c r="S297" s="1647"/>
      <c r="T297" s="1647"/>
      <c r="U297" s="1647"/>
      <c r="V297" s="1647"/>
      <c r="W297" s="1647"/>
      <c r="X297" s="1647"/>
      <c r="Y297" s="1647"/>
      <c r="Z297" s="1647"/>
      <c r="AA297" s="1647"/>
      <c r="AB297" s="1647"/>
      <c r="AC297" s="1647"/>
      <c r="AD297" s="1647"/>
      <c r="AE297" s="1647"/>
      <c r="AF297" s="1647">
        <v>11</v>
      </c>
    </row>
    <row customHeight="1" ht="11.549999999999999">
      <c r="A298" s="1006"/>
      <c r="B298" s="1647"/>
      <c r="D298" s="1647"/>
      <c r="K298" s="1647"/>
      <c r="N298" s="1647"/>
      <c r="O298" s="1647"/>
      <c r="P298" s="1647"/>
      <c r="Q298" s="1647"/>
      <c r="S298" s="1647"/>
      <c r="T298" s="1647"/>
      <c r="U298" s="1647"/>
      <c r="V298" s="1647"/>
      <c r="W298" s="1647"/>
      <c r="X298" s="1647"/>
      <c r="Y298" s="1647"/>
      <c r="Z298" s="1647"/>
      <c r="AA298" s="1647"/>
      <c r="AB298" s="1647"/>
      <c r="AC298" s="1647"/>
      <c r="AD298" s="1647"/>
      <c r="AE298" s="1647"/>
      <c r="AF298" s="1647">
        <v>11</v>
      </c>
    </row>
    <row customHeight="1" ht="11.549999999999999">
      <c r="A299" s="1006"/>
      <c r="B299" s="1647"/>
      <c r="D299" s="1647"/>
      <c r="K299" s="1647"/>
      <c r="N299" s="1647"/>
      <c r="O299" s="1647"/>
      <c r="P299" s="1647"/>
      <c r="Q299" s="1647"/>
      <c r="S299" s="1647"/>
      <c r="T299" s="1647"/>
      <c r="U299" s="1647"/>
      <c r="V299" s="1647"/>
      <c r="W299" s="1647"/>
      <c r="X299" s="1647"/>
      <c r="Y299" s="1647"/>
      <c r="Z299" s="1647"/>
      <c r="AA299" s="1647"/>
      <c r="AB299" s="1647"/>
      <c r="AC299" s="1647"/>
      <c r="AD299" s="1647"/>
      <c r="AE299" s="1647"/>
      <c r="AF299" s="1647">
        <v>11</v>
      </c>
    </row>
    <row customHeight="1" ht="11.549999999999999">
      <c r="A300" s="1006"/>
      <c r="B300" s="1647"/>
      <c r="D300" s="1647"/>
      <c r="K300" s="1647"/>
      <c r="N300" s="1647"/>
      <c r="O300" s="1647"/>
      <c r="P300" s="1647"/>
      <c r="Q300" s="1647"/>
      <c r="S300" s="1647"/>
      <c r="T300" s="1647"/>
      <c r="U300" s="1647"/>
      <c r="V300" s="1647"/>
      <c r="W300" s="1647"/>
      <c r="X300" s="1647"/>
      <c r="Y300" s="1647"/>
      <c r="Z300" s="1647"/>
      <c r="AA300" s="1647"/>
      <c r="AB300" s="1647"/>
      <c r="AC300" s="1647"/>
      <c r="AD300" s="1647"/>
      <c r="AE300" s="1647"/>
      <c r="AF300" s="1647">
        <v>11</v>
      </c>
    </row>
    <row customHeight="1" ht="11.549999999999999">
      <c r="A301" s="1006"/>
      <c r="B301" s="1647"/>
      <c r="D301" s="1647"/>
      <c r="K301" s="1647"/>
      <c r="N301" s="1647"/>
      <c r="O301" s="1647"/>
      <c r="P301" s="1647"/>
      <c r="Q301" s="1647"/>
      <c r="S301" s="1647"/>
      <c r="T301" s="1647"/>
      <c r="U301" s="1647"/>
      <c r="V301" s="1647"/>
      <c r="W301" s="1647"/>
      <c r="X301" s="1647"/>
      <c r="Y301" s="1647"/>
      <c r="Z301" s="1647"/>
      <c r="AA301" s="1647"/>
      <c r="AB301" s="1647"/>
      <c r="AC301" s="1647"/>
      <c r="AD301" s="1647"/>
      <c r="AE301" s="1647"/>
      <c r="AF301" s="1647">
        <v>11</v>
      </c>
    </row>
    <row customHeight="1" ht="11.549999999999999">
      <c r="A302" s="1006"/>
      <c r="B302" s="1647"/>
      <c r="D302" s="1647"/>
      <c r="K302" s="1647"/>
      <c r="N302" s="1647"/>
      <c r="O302" s="1647"/>
      <c r="P302" s="1647"/>
      <c r="Q302" s="1647"/>
      <c r="S302" s="1647"/>
      <c r="T302" s="1647"/>
      <c r="U302" s="1647"/>
      <c r="V302" s="1647"/>
      <c r="W302" s="1647"/>
      <c r="X302" s="1647"/>
      <c r="Y302" s="1647"/>
      <c r="Z302" s="1647"/>
      <c r="AA302" s="1647"/>
      <c r="AB302" s="1647"/>
      <c r="AC302" s="1647"/>
      <c r="AD302" s="1647"/>
      <c r="AE302" s="1647"/>
      <c r="AF302" s="1647">
        <v>11</v>
      </c>
    </row>
    <row customHeight="1" ht="11.25" hidden="1">
      <c r="A303" s="1003" t="s">
        <v>85</v>
      </c>
      <c r="B303" s="1176">
        <v>0</v>
      </c>
      <c r="C303" s="1652">
        <v>0</v>
      </c>
      <c r="D303" s="1651">
        <v>3</v>
      </c>
      <c r="E303" s="1647">
        <v>7</v>
      </c>
      <c r="F303" s="1647">
        <v>54</v>
      </c>
      <c r="G303" s="1647">
        <v>10</v>
      </c>
      <c r="H303" s="1647">
        <v>0</v>
      </c>
      <c r="I303" s="1647">
        <v>40</v>
      </c>
      <c r="J303" s="1647">
        <v>102</v>
      </c>
      <c r="K303" s="1176">
        <v>9</v>
      </c>
      <c r="L303" s="1652">
        <v>5</v>
      </c>
      <c r="M303" s="1652">
        <v>3</v>
      </c>
      <c r="N303" s="1176">
        <v>3</v>
      </c>
      <c r="O303" s="1176">
        <v>3</v>
      </c>
      <c r="P303" s="1176">
        <v>3</v>
      </c>
      <c r="Q303" s="1176">
        <v>3</v>
      </c>
      <c r="R303" s="1652">
        <v>10</v>
      </c>
      <c r="S303" s="1176">
        <v>34</v>
      </c>
      <c r="T303" s="1176">
        <v>9</v>
      </c>
      <c r="U303" s="560">
        <v>8</v>
      </c>
      <c r="V303" s="1176">
        <v>8</v>
      </c>
      <c r="W303" s="1176">
        <v>8</v>
      </c>
      <c r="X303" s="1176">
        <v>8</v>
      </c>
      <c r="Y303" s="1176">
        <v>8</v>
      </c>
      <c r="Z303" s="1176">
        <v>8</v>
      </c>
      <c r="AA303" s="1648">
        <v>8</v>
      </c>
      <c r="AB303" s="1648">
        <v>8</v>
      </c>
      <c r="AC303" s="1648">
        <v>8</v>
      </c>
      <c r="AD303" s="1648">
        <v>8</v>
      </c>
      <c r="AE303" s="1648">
        <v>8</v>
      </c>
      <c r="AF303" s="164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B94FD-AC1E-E49C-4497-8F81244C31A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9" width="14.7109375" hidden="1" customWidth="1"/>
    <col min="2" max="2" style="1648" width="17.00390625" hidden="1" customWidth="1"/>
    <col min="3" max="3" style="1651" width="3.00390625" customWidth="1"/>
    <col min="4" max="4" style="1651" width="1.8515625" hidden="1" customWidth="1"/>
    <col min="5" max="6" style="1651" width="7.00390625" customWidth="1"/>
    <col min="7" max="7" style="1651" width="29.00390625" customWidth="1"/>
    <col min="8" max="8" style="1651" width="3.7109375" customWidth="1"/>
    <col min="9" max="9" style="1651" width="5.00390625" customWidth="1"/>
    <col min="10" max="11" style="1651" width="24.00390625" customWidth="1"/>
    <col min="12" max="12" style="1651" width="3.00390625" customWidth="1"/>
    <col min="13" max="13" style="1651" width="6.00390625" customWidth="1"/>
    <col min="14" max="14" style="1651" width="25.00390625" customWidth="1"/>
    <col min="15" max="18" style="1651" width="18.00390625" customWidth="1"/>
    <col min="19" max="19" style="1651" width="93.00390625" customWidth="1"/>
    <col min="20" max="20" style="1651" width="10.00390625" customWidth="1"/>
    <col min="21" max="21" style="1658" width="10.00390625" customWidth="1"/>
    <col min="22" max="22" style="1658" width="11.00390625" customWidth="1"/>
    <col min="23" max="27" style="1648" width="10.00390625" customWidth="1"/>
    <col min="28" max="83" style="1651" width="8.00390625" customWidth="1"/>
    <col min="84" max="84" style="1651" width="9.140625" hidden="1"/>
  </cols>
  <sheetData>
    <row customHeight="1" ht="22.5" hidden="1">
      <c r="CF1" s="521" t="s">
        <v>14</v>
      </c>
    </row>
    <row customHeight="1" ht="11.25" hidden="1">
      <c r="CF2" s="521">
        <v>0</v>
      </c>
    </row>
    <row customHeight="1" ht="11.25" hidden="1">
      <c r="CF3" s="521">
        <v>0</v>
      </c>
    </row>
    <row customHeight="1" ht="3">
      <c r="C4" s="525"/>
      <c r="D4" s="525"/>
      <c r="E4" s="525"/>
      <c r="F4" s="525"/>
      <c r="G4" s="525"/>
      <c r="H4" s="525"/>
      <c r="I4" s="525"/>
      <c r="J4" s="525"/>
      <c r="K4" s="182"/>
      <c r="L4" s="182"/>
      <c r="M4" s="182"/>
      <c r="CF4" s="521">
        <v>3</v>
      </c>
    </row>
    <row customHeight="1" ht="29.25">
      <c r="C5" s="525"/>
      <c r="D5" s="1073"/>
      <c r="E5" s="2253" t="str">
        <f>FHD20_NAME_FORM</f>
        <v>Форма 11. Информация о расходах на капитальный и текущий ремонт основных средств</v>
      </c>
      <c r="F5" s="2253"/>
      <c r="G5" s="2253"/>
      <c r="H5" s="2253"/>
      <c r="I5" s="2253"/>
      <c r="J5" s="2253"/>
      <c r="K5" s="2253"/>
      <c r="L5" s="629"/>
      <c r="M5" s="629"/>
      <c r="CF5" s="521">
        <v>28</v>
      </c>
    </row>
    <row s="1651" customFormat="1" customHeight="1" ht="16.8">
      <c r="A6" s="626"/>
      <c r="B6" s="775"/>
      <c r="C6" s="525"/>
      <c r="D6" s="1074"/>
      <c r="E6" s="2192" t="str">
        <f>IF(org=0,"Не определено",org)</f>
        <v>КГУП "Примтеплоэнерго"</v>
      </c>
      <c r="F6" s="2192"/>
      <c r="G6" s="2192"/>
      <c r="H6" s="2192"/>
      <c r="I6" s="2192"/>
      <c r="J6" s="2192"/>
      <c r="K6" s="2192"/>
      <c r="L6" s="629"/>
      <c r="M6" s="629"/>
      <c r="U6" s="627"/>
      <c r="V6" s="627"/>
      <c r="W6" s="628"/>
      <c r="X6" s="775"/>
      <c r="Y6" s="775"/>
      <c r="Z6" s="775"/>
      <c r="AA6" s="775"/>
      <c r="CF6" s="774">
        <v>16</v>
      </c>
    </row>
    <row customHeight="1" ht="11.549999999999999">
      <c r="C7" s="525"/>
      <c r="D7" s="525"/>
      <c r="E7" s="525"/>
      <c r="F7" s="525"/>
      <c r="G7" s="538"/>
      <c r="H7" s="538"/>
      <c r="I7" s="538"/>
      <c r="J7" s="538"/>
      <c r="K7" s="630"/>
      <c r="L7" s="630"/>
      <c r="M7" s="630"/>
      <c r="R7" s="768"/>
      <c r="CF7" s="521">
        <v>11</v>
      </c>
    </row>
    <row s="1657" customFormat="1" customHeight="1" ht="4.2">
      <c r="A8" s="637"/>
      <c r="B8" s="582"/>
      <c r="C8" s="367"/>
      <c r="D8" s="367"/>
      <c r="E8" s="367"/>
      <c r="F8" s="367"/>
      <c r="G8" s="991"/>
      <c r="H8" s="991"/>
      <c r="I8" s="991"/>
      <c r="J8" s="991"/>
      <c r="K8" s="1034"/>
      <c r="L8" s="1034"/>
      <c r="M8" s="1034"/>
      <c r="R8" s="1035"/>
      <c r="U8" s="627"/>
      <c r="V8" s="627"/>
      <c r="W8" s="638"/>
      <c r="X8" s="582"/>
      <c r="Y8" s="582"/>
      <c r="Z8" s="582"/>
      <c r="AA8" s="582"/>
      <c r="CF8" s="512">
        <v>4</v>
      </c>
    </row>
    <row customHeight="1" ht="19.95">
      <c r="D9" s="305"/>
      <c r="E9" s="2117" t="s">
        <v>453</v>
      </c>
      <c r="F9" s="2118"/>
      <c r="G9" s="2118"/>
      <c r="H9" s="2118"/>
      <c r="I9" s="2118"/>
      <c r="J9" s="2118"/>
      <c r="K9" s="2118"/>
      <c r="L9" s="2118"/>
      <c r="M9" s="2118"/>
      <c r="N9" s="2118"/>
      <c r="O9" s="2118"/>
      <c r="P9" s="2118"/>
      <c r="Q9" s="2118"/>
      <c r="R9" s="2119"/>
      <c r="S9" s="2143" t="s">
        <v>454</v>
      </c>
      <c r="T9" s="350"/>
      <c r="CF9" s="521">
        <v>19</v>
      </c>
    </row>
    <row customHeight="1" ht="48.29999999999999">
      <c r="D10" s="567" t="s">
        <v>91</v>
      </c>
      <c r="E10" s="2143" t="s">
        <v>91</v>
      </c>
      <c r="F10" s="2143"/>
      <c r="G10" s="537" t="s">
        <v>455</v>
      </c>
      <c r="H10" s="2143" t="s">
        <v>91</v>
      </c>
      <c r="I10" s="2143"/>
      <c r="J10" s="537" t="s">
        <v>755</v>
      </c>
      <c r="K10" s="537" t="s">
        <v>756</v>
      </c>
      <c r="L10" s="2143" t="s">
        <v>91</v>
      </c>
      <c r="M10" s="2143"/>
      <c r="N10" s="537" t="s">
        <v>757</v>
      </c>
      <c r="O10" s="537" t="s">
        <v>758</v>
      </c>
      <c r="P10" s="537" t="s">
        <v>759</v>
      </c>
      <c r="Q10" s="537" t="s">
        <v>760</v>
      </c>
      <c r="R10" s="537" t="s">
        <v>761</v>
      </c>
      <c r="S10" s="2143"/>
      <c r="T10" s="350"/>
      <c r="CF10" s="521">
        <v>46</v>
      </c>
    </row>
    <row s="1658" customFormat="1" customHeight="1" ht="15" hidden="1">
      <c r="A11" s="1068"/>
      <c r="D11" s="1041" t="s">
        <v>141</v>
      </c>
      <c r="E11" s="1041"/>
      <c r="F11" s="1041" t="s">
        <v>107</v>
      </c>
      <c r="G11" s="1041" t="s">
        <v>93</v>
      </c>
      <c r="H11" s="1041"/>
      <c r="I11" s="1041" t="s">
        <v>94</v>
      </c>
      <c r="J11" s="1041" t="s">
        <v>122</v>
      </c>
      <c r="K11" s="1041" t="s">
        <v>95</v>
      </c>
      <c r="L11" s="1041"/>
      <c r="M11" s="1041" t="s">
        <v>96</v>
      </c>
      <c r="N11" s="1041" t="s">
        <v>134</v>
      </c>
      <c r="O11" s="1041" t="s">
        <v>139</v>
      </c>
      <c r="P11" s="1041" t="s">
        <v>144</v>
      </c>
      <c r="Q11" s="1041" t="s">
        <v>150</v>
      </c>
      <c r="R11" s="1041" t="s">
        <v>152</v>
      </c>
      <c r="S11" s="1041" t="s">
        <v>158</v>
      </c>
      <c r="U11" s="627"/>
      <c r="V11" s="627"/>
      <c r="W11" s="627"/>
      <c r="CF11" s="527">
        <v>0</v>
      </c>
    </row>
    <row s="1651" customFormat="1" customHeight="1" ht="1.05">
      <c r="A12" s="631"/>
      <c r="B12" s="378"/>
      <c r="D12" s="564"/>
      <c r="E12" s="362"/>
      <c r="F12" s="362"/>
      <c r="Q12" s="632"/>
      <c r="R12" s="633"/>
      <c r="T12" s="634"/>
      <c r="U12" s="635"/>
      <c r="V12" s="635"/>
      <c r="W12" s="636"/>
      <c r="X12" s="378"/>
      <c r="Y12" s="378"/>
      <c r="Z12" s="378"/>
      <c r="AA12" s="378"/>
      <c r="CF12" s="525">
        <v>1</v>
      </c>
    </row>
    <row s="1657" customFormat="1" customHeight="1" ht="1.05">
      <c r="A13" s="637"/>
      <c r="B13" s="582"/>
      <c r="D13" s="564" t="s">
        <v>529</v>
      </c>
      <c r="E13" s="576"/>
      <c r="F13" s="576"/>
      <c r="G13" s="576"/>
      <c r="H13" s="576"/>
      <c r="I13" s="576"/>
      <c r="J13" s="576"/>
      <c r="K13" s="576"/>
      <c r="L13" s="576"/>
      <c r="M13" s="576"/>
      <c r="N13" s="576"/>
      <c r="O13" s="576"/>
      <c r="P13" s="576"/>
      <c r="Q13" s="576"/>
      <c r="R13" s="576"/>
      <c r="T13" s="350"/>
      <c r="U13" s="627"/>
      <c r="V13" s="627"/>
      <c r="W13" s="638"/>
      <c r="X13" s="582"/>
      <c r="Y13" s="582"/>
      <c r="Z13" s="582"/>
      <c r="AA13" s="582"/>
      <c r="CF13" s="512">
        <v>1</v>
      </c>
    </row>
    <row s="1866" customFormat="1" customHeight="1" ht="15" hidden="1">
      <c r="A14" s="639" t="s">
        <v>186</v>
      </c>
      <c r="B14" s="640"/>
      <c r="C14" s="640"/>
      <c r="D14" s="2396" t="s">
        <v>141</v>
      </c>
      <c r="E14" s="2393" t="s">
        <v>178</v>
      </c>
      <c r="F14" s="2394"/>
      <c r="G14" s="2395"/>
      <c r="H14" s="2399">
        <f>IF(A14="","",INDEX(DIFFERENTIATION_UNMERGE_VD,MATCH(A14,DIFFERENTIATION_ID_DIFF,0)))</f>
        <v>0</v>
      </c>
      <c r="I14" s="2399"/>
      <c r="J14" s="2399"/>
      <c r="K14" s="2399"/>
      <c r="L14" s="2399"/>
      <c r="M14" s="2399"/>
      <c r="N14" s="2399"/>
      <c r="O14" s="2399"/>
      <c r="P14" s="2399"/>
      <c r="Q14" s="2399"/>
      <c r="R14" s="2399"/>
      <c r="S14" s="735"/>
      <c r="T14" s="732"/>
      <c r="U14" s="641"/>
      <c r="V14" s="641"/>
      <c r="W14" s="642"/>
      <c r="X14" s="642"/>
      <c r="Y14" s="642"/>
      <c r="Z14" s="642"/>
      <c r="AA14" s="643"/>
      <c r="AB14" s="644"/>
      <c r="AC14" s="2391"/>
      <c r="AD14" s="645"/>
      <c r="AE14" s="646" t="s">
        <v>28</v>
      </c>
      <c r="AF14" s="646"/>
      <c r="AG14" s="647" t="s">
        <v>762</v>
      </c>
      <c r="AH14" s="648">
        <v>3</v>
      </c>
      <c r="AI14" s="641"/>
      <c r="AJ14" s="641"/>
      <c r="AK14" s="641"/>
      <c r="AL14" s="641"/>
      <c r="AM14" s="641"/>
      <c r="AN14" s="641"/>
      <c r="AO14" s="641"/>
      <c r="AP14" s="641"/>
      <c r="AQ14" s="641"/>
      <c r="AR14" s="641"/>
      <c r="AS14" s="641"/>
      <c r="AT14" s="641"/>
      <c r="AU14" s="641"/>
      <c r="AV14" s="641"/>
      <c r="AW14" s="641"/>
      <c r="AX14" s="641"/>
      <c r="AY14" s="641"/>
      <c r="AZ14" s="641"/>
      <c r="BA14" s="641"/>
      <c r="BB14" s="641"/>
      <c r="BC14" s="641"/>
      <c r="BD14" s="641"/>
      <c r="BE14" s="641"/>
      <c r="BF14" s="641"/>
      <c r="BG14" s="641"/>
      <c r="BH14" s="641"/>
      <c r="BI14" s="641"/>
      <c r="BJ14" s="641"/>
      <c r="BK14" s="641"/>
      <c r="BL14" s="641"/>
      <c r="BM14" s="641"/>
      <c r="BN14" s="641"/>
      <c r="BO14" s="641"/>
      <c r="BP14" s="641"/>
      <c r="BQ14" s="641"/>
      <c r="BR14" s="641"/>
      <c r="BS14" s="641"/>
      <c r="BT14" s="641"/>
      <c r="BU14" s="641"/>
      <c r="BV14" s="642"/>
      <c r="BW14" s="642"/>
      <c r="BX14" s="642"/>
      <c r="BY14" s="642"/>
      <c r="BZ14" s="642"/>
      <c r="CA14" s="642"/>
      <c r="CB14" s="642"/>
      <c r="CC14" s="642"/>
      <c r="CD14" s="642"/>
      <c r="CE14" s="642"/>
      <c r="CF14" s="309">
        <v>0</v>
      </c>
    </row>
    <row s="1866" customFormat="1" customHeight="1" ht="15" hidden="1">
      <c r="A15" s="639"/>
      <c r="B15" s="640"/>
      <c r="C15" s="640"/>
      <c r="D15" s="2397"/>
      <c r="E15" s="2393" t="s">
        <v>717</v>
      </c>
      <c r="F15" s="2394"/>
      <c r="G15" s="2395"/>
      <c r="H15" s="2399" t="str">
        <f>IF(A14="","",INDEX(DIFFERENTIATION_UNMERGE_AREA,MATCH(A14,DIFFERENTIATION_ID_DIFF,0)))</f>
        <v/>
      </c>
      <c r="I15" s="2399"/>
      <c r="J15" s="2399"/>
      <c r="K15" s="2399"/>
      <c r="L15" s="2399"/>
      <c r="M15" s="2399"/>
      <c r="N15" s="2399"/>
      <c r="O15" s="2399"/>
      <c r="P15" s="2399"/>
      <c r="Q15" s="2399"/>
      <c r="R15" s="2399"/>
      <c r="S15" s="735"/>
      <c r="T15" s="732"/>
      <c r="U15" s="641"/>
      <c r="V15" s="641"/>
      <c r="W15" s="642"/>
      <c r="X15" s="642"/>
      <c r="Y15" s="642"/>
      <c r="Z15" s="642"/>
      <c r="AA15" s="643"/>
      <c r="AB15" s="644"/>
      <c r="AC15" s="2391"/>
      <c r="AD15" s="645"/>
      <c r="AE15" s="646"/>
      <c r="AF15" s="646"/>
      <c r="AG15" s="647"/>
      <c r="AH15" s="648"/>
      <c r="AI15" s="641"/>
      <c r="AJ15" s="641"/>
      <c r="AK15" s="641"/>
      <c r="AL15" s="641"/>
      <c r="AM15" s="641"/>
      <c r="AN15" s="641"/>
      <c r="AO15" s="641"/>
      <c r="AP15" s="641"/>
      <c r="AQ15" s="641"/>
      <c r="AR15" s="641"/>
      <c r="AS15" s="641"/>
      <c r="AT15" s="641"/>
      <c r="AU15" s="641"/>
      <c r="AV15" s="641"/>
      <c r="AW15" s="641"/>
      <c r="AX15" s="641"/>
      <c r="AY15" s="641"/>
      <c r="AZ15" s="641"/>
      <c r="BA15" s="641"/>
      <c r="BB15" s="641"/>
      <c r="BC15" s="641"/>
      <c r="BD15" s="641"/>
      <c r="BE15" s="641"/>
      <c r="BF15" s="641"/>
      <c r="BG15" s="641"/>
      <c r="BH15" s="641"/>
      <c r="BI15" s="641"/>
      <c r="BJ15" s="641"/>
      <c r="BK15" s="641"/>
      <c r="BL15" s="641"/>
      <c r="BM15" s="641"/>
      <c r="BN15" s="641"/>
      <c r="BO15" s="641"/>
      <c r="BP15" s="641"/>
      <c r="BQ15" s="641"/>
      <c r="BR15" s="641"/>
      <c r="BS15" s="641"/>
      <c r="BT15" s="641"/>
      <c r="BU15" s="641"/>
      <c r="BV15" s="642"/>
      <c r="BW15" s="642"/>
      <c r="BX15" s="642"/>
      <c r="BY15" s="642"/>
      <c r="BZ15" s="642"/>
      <c r="CA15" s="642"/>
      <c r="CB15" s="642"/>
      <c r="CC15" s="642"/>
      <c r="CD15" s="642"/>
      <c r="CE15" s="642"/>
      <c r="CF15" s="309">
        <v>0</v>
      </c>
    </row>
    <row s="1866" customFormat="1" customHeight="1" ht="15" hidden="1">
      <c r="A16" s="639"/>
      <c r="B16" s="640"/>
      <c r="C16" s="640"/>
      <c r="D16" s="2397"/>
      <c r="E16" s="2393" t="s">
        <v>718</v>
      </c>
      <c r="F16" s="2394"/>
      <c r="G16" s="2395"/>
      <c r="H16" s="2399" t="str">
        <f>IF(A14="","",INDEX(DIFFERENTIATION_UNMERGE_SYSTEM,MATCH(A14,DIFFERENTIATION_ID_DIFF,0)))</f>
        <v>без дифференциации</v>
      </c>
      <c r="I16" s="2399"/>
      <c r="J16" s="2399"/>
      <c r="K16" s="2399"/>
      <c r="L16" s="2399"/>
      <c r="M16" s="2399"/>
      <c r="N16" s="2399"/>
      <c r="O16" s="2399"/>
      <c r="P16" s="2399"/>
      <c r="Q16" s="2399"/>
      <c r="R16" s="2399"/>
      <c r="S16" s="735"/>
      <c r="T16" s="732"/>
      <c r="U16" s="641"/>
      <c r="V16" s="641"/>
      <c r="W16" s="642"/>
      <c r="X16" s="642"/>
      <c r="Y16" s="642"/>
      <c r="Z16" s="642"/>
      <c r="AA16" s="643"/>
      <c r="AB16" s="644"/>
      <c r="AC16" s="2391"/>
      <c r="AD16" s="645"/>
      <c r="AE16" s="646"/>
      <c r="AF16" s="646"/>
      <c r="AG16" s="647"/>
      <c r="AH16" s="648"/>
      <c r="AI16" s="641"/>
      <c r="AJ16" s="641"/>
      <c r="AK16" s="641"/>
      <c r="AL16" s="641"/>
      <c r="AM16" s="641"/>
      <c r="AN16" s="641"/>
      <c r="AO16" s="641"/>
      <c r="AP16" s="641"/>
      <c r="AQ16" s="641"/>
      <c r="AR16" s="641"/>
      <c r="AS16" s="641"/>
      <c r="AT16" s="641"/>
      <c r="AU16" s="641"/>
      <c r="AV16" s="641"/>
      <c r="AW16" s="641"/>
      <c r="AX16" s="641"/>
      <c r="AY16" s="641"/>
      <c r="AZ16" s="641"/>
      <c r="BA16" s="641"/>
      <c r="BB16" s="641"/>
      <c r="BC16" s="641"/>
      <c r="BD16" s="641"/>
      <c r="BE16" s="641"/>
      <c r="BF16" s="641"/>
      <c r="BG16" s="641"/>
      <c r="BH16" s="641"/>
      <c r="BI16" s="641"/>
      <c r="BJ16" s="641"/>
      <c r="BK16" s="641"/>
      <c r="BL16" s="641"/>
      <c r="BM16" s="641"/>
      <c r="BN16" s="641"/>
      <c r="BO16" s="641"/>
      <c r="BP16" s="641"/>
      <c r="BQ16" s="641"/>
      <c r="BR16" s="641"/>
      <c r="BS16" s="641"/>
      <c r="BT16" s="641"/>
      <c r="BU16" s="641"/>
      <c r="BV16" s="642"/>
      <c r="BW16" s="642"/>
      <c r="BX16" s="642"/>
      <c r="BY16" s="642"/>
      <c r="BZ16" s="642"/>
      <c r="CA16" s="642"/>
      <c r="CB16" s="642"/>
      <c r="CC16" s="642"/>
      <c r="CD16" s="642"/>
      <c r="CE16" s="642"/>
      <c r="CF16" s="309">
        <v>0</v>
      </c>
    </row>
    <row s="1866" customFormat="1" customHeight="1" ht="22.5" hidden="1">
      <c r="A17" s="649"/>
      <c r="B17" s="433"/>
      <c r="C17" s="428"/>
      <c r="D17" s="2397"/>
      <c r="E17" s="2392" t="s">
        <v>763</v>
      </c>
      <c r="F17" s="2392"/>
      <c r="G17" s="2392"/>
      <c r="H17" s="2392"/>
      <c r="I17" s="2392"/>
      <c r="J17" s="2392"/>
      <c r="K17" s="2392"/>
      <c r="L17" s="2392"/>
      <c r="M17" s="2392"/>
      <c r="N17" s="2392"/>
      <c r="O17" s="2392"/>
      <c r="P17" s="2392"/>
      <c r="Q17" s="574">
        <f>SUMIF(T18:T19,"i",Q18:Q19)</f>
        <v>0</v>
      </c>
      <c r="R17" s="1033"/>
      <c r="S17" s="913" t="s">
        <v>764</v>
      </c>
      <c r="T17" s="733" t="s">
        <v>765</v>
      </c>
      <c r="U17" s="2390">
        <v>1</v>
      </c>
      <c r="V17" s="2390" t="str">
        <f>INDEX(B_FHD_FLAG_INDEX_1,1,MATCH(A14,B_FHD_FLAG_DIFFERENTIATION,0))</f>
        <v>отсутствует</v>
      </c>
      <c r="W17" s="433"/>
      <c r="X17" s="433"/>
      <c r="Y17" s="433"/>
      <c r="Z17" s="433"/>
      <c r="AA17" s="527"/>
      <c r="AB17" s="433"/>
      <c r="AC17" s="2391"/>
      <c r="AD17" s="645"/>
      <c r="AE17" s="433"/>
      <c r="AF17" s="433"/>
      <c r="AG17" s="527"/>
      <c r="AH17" s="527"/>
      <c r="AI17" s="527"/>
      <c r="AJ17" s="527"/>
      <c r="AK17" s="527"/>
      <c r="AL17" s="527"/>
      <c r="AM17" s="527"/>
      <c r="AN17" s="527"/>
      <c r="AO17" s="527"/>
      <c r="AP17" s="527"/>
      <c r="AQ17" s="527"/>
      <c r="AR17" s="527"/>
      <c r="AS17" s="527"/>
      <c r="AT17" s="527"/>
      <c r="AU17" s="527"/>
      <c r="AV17" s="527"/>
      <c r="AW17" s="527"/>
      <c r="AX17" s="527"/>
      <c r="AY17" s="527"/>
      <c r="AZ17" s="527"/>
      <c r="BA17" s="527"/>
      <c r="BB17" s="527"/>
      <c r="BC17" s="527"/>
      <c r="BD17" s="527"/>
      <c r="BE17" s="527"/>
      <c r="BF17" s="527"/>
      <c r="BG17" s="527"/>
      <c r="BH17" s="527"/>
      <c r="BI17" s="527"/>
      <c r="BJ17" s="527"/>
      <c r="BK17" s="527"/>
      <c r="BL17" s="527"/>
      <c r="BM17" s="527"/>
      <c r="BN17" s="527"/>
      <c r="BO17" s="527"/>
      <c r="BP17" s="527"/>
      <c r="BQ17" s="527"/>
      <c r="BR17" s="527"/>
      <c r="BS17" s="527"/>
      <c r="BT17" s="527"/>
      <c r="BU17" s="527"/>
      <c r="BV17" s="433"/>
      <c r="BW17" s="433"/>
      <c r="BX17" s="433"/>
      <c r="BY17" s="433"/>
      <c r="BZ17" s="433"/>
      <c r="CA17" s="433"/>
      <c r="CB17" s="433"/>
      <c r="CC17" s="433"/>
      <c r="CD17" s="433"/>
      <c r="CE17" s="433"/>
      <c r="CF17" s="309">
        <v>0</v>
      </c>
    </row>
    <row s="1866" customFormat="1" customHeight="1" ht="11.25" hidden="1">
      <c r="A18" s="650"/>
      <c r="B18" s="527"/>
      <c r="C18" s="527"/>
      <c r="D18" s="2397"/>
      <c r="E18" s="651"/>
      <c r="F18" s="651">
        <v>0</v>
      </c>
      <c r="G18" s="651"/>
      <c r="H18" s="651"/>
      <c r="I18" s="651"/>
      <c r="J18" s="651"/>
      <c r="K18" s="651"/>
      <c r="L18" s="651"/>
      <c r="M18" s="651"/>
      <c r="N18" s="651"/>
      <c r="O18" s="651"/>
      <c r="P18" s="651"/>
      <c r="Q18" s="651"/>
      <c r="R18" s="651"/>
      <c r="S18" s="652"/>
      <c r="T18" s="734"/>
      <c r="U18" s="2390"/>
      <c r="V18" s="2390"/>
      <c r="W18" s="527"/>
      <c r="X18" s="527"/>
      <c r="Y18" s="527"/>
      <c r="Z18" s="527"/>
      <c r="AA18" s="527"/>
      <c r="AB18" s="433"/>
      <c r="AC18" s="2391"/>
      <c r="AD18" s="645"/>
      <c r="AE18" s="433"/>
      <c r="AF18" s="433"/>
      <c r="AG18" s="527"/>
      <c r="AH18" s="527"/>
      <c r="AI18" s="527"/>
      <c r="AJ18" s="527"/>
      <c r="AK18" s="527"/>
      <c r="AL18" s="527"/>
      <c r="AM18" s="527"/>
      <c r="AN18" s="527"/>
      <c r="AO18" s="527"/>
      <c r="AP18" s="527"/>
      <c r="AQ18" s="527"/>
      <c r="AR18" s="527"/>
      <c r="AS18" s="527"/>
      <c r="AT18" s="527"/>
      <c r="AU18" s="527"/>
      <c r="AV18" s="527"/>
      <c r="AW18" s="527"/>
      <c r="AX18" s="527"/>
      <c r="AY18" s="527"/>
      <c r="AZ18" s="527"/>
      <c r="BA18" s="527"/>
      <c r="BB18" s="527"/>
      <c r="BC18" s="527"/>
      <c r="BD18" s="527"/>
      <c r="BE18" s="527"/>
      <c r="BF18" s="527"/>
      <c r="BG18" s="527"/>
      <c r="BH18" s="527"/>
      <c r="BI18" s="527"/>
      <c r="BJ18" s="527"/>
      <c r="BK18" s="527"/>
      <c r="BL18" s="527"/>
      <c r="BM18" s="527"/>
      <c r="BN18" s="527"/>
      <c r="BO18" s="527"/>
      <c r="BP18" s="527"/>
      <c r="BQ18" s="527"/>
      <c r="BR18" s="527"/>
      <c r="BS18" s="527"/>
      <c r="BT18" s="527"/>
      <c r="BU18" s="527"/>
      <c r="BV18" s="527"/>
      <c r="BW18" s="527"/>
      <c r="BX18" s="527"/>
      <c r="BY18" s="527"/>
      <c r="BZ18" s="527"/>
      <c r="CA18" s="527"/>
      <c r="CB18" s="527"/>
      <c r="CC18" s="527"/>
      <c r="CD18" s="527"/>
      <c r="CE18" s="527"/>
      <c r="CF18" s="309">
        <v>0</v>
      </c>
    </row>
    <row s="1866" customFormat="1" customHeight="1" ht="11.25" hidden="1">
      <c r="A19" s="649"/>
      <c r="B19" s="433"/>
      <c r="C19" s="428"/>
      <c r="D19" s="2397"/>
      <c r="E19" s="665" t="s">
        <v>28</v>
      </c>
      <c r="F19" s="666" t="s">
        <v>28</v>
      </c>
      <c r="G19" s="666" t="s">
        <v>28</v>
      </c>
      <c r="H19" s="667" t="s">
        <v>28</v>
      </c>
      <c r="I19" s="667"/>
      <c r="J19" s="667"/>
      <c r="K19" s="667"/>
      <c r="L19" s="667"/>
      <c r="M19" s="667"/>
      <c r="N19" s="667"/>
      <c r="O19" s="667"/>
      <c r="P19" s="667"/>
      <c r="Q19" s="667"/>
      <c r="R19" s="668"/>
      <c r="S19" s="1036"/>
      <c r="T19" s="734"/>
      <c r="U19" s="2390"/>
      <c r="V19" s="2390"/>
      <c r="W19" s="433"/>
      <c r="X19" s="433"/>
      <c r="Y19" s="433"/>
      <c r="Z19" s="433"/>
      <c r="AA19" s="527"/>
      <c r="AB19" s="433"/>
      <c r="AC19" s="2391"/>
      <c r="AD19" s="645"/>
      <c r="AE19" s="433"/>
      <c r="AF19" s="433"/>
      <c r="AG19" s="527"/>
      <c r="AH19" s="527"/>
      <c r="AI19" s="527"/>
      <c r="AJ19" s="527"/>
      <c r="AK19" s="527"/>
      <c r="AL19" s="527"/>
      <c r="AM19" s="527"/>
      <c r="AN19" s="527"/>
      <c r="AO19" s="527"/>
      <c r="AP19" s="527"/>
      <c r="AQ19" s="527"/>
      <c r="AR19" s="527"/>
      <c r="AS19" s="527"/>
      <c r="AT19" s="527"/>
      <c r="AU19" s="527"/>
      <c r="AV19" s="527"/>
      <c r="AW19" s="527"/>
      <c r="AX19" s="527"/>
      <c r="AY19" s="527"/>
      <c r="AZ19" s="527"/>
      <c r="BA19" s="527"/>
      <c r="BB19" s="527"/>
      <c r="BC19" s="527"/>
      <c r="BD19" s="527"/>
      <c r="BE19" s="527"/>
      <c r="BF19" s="527"/>
      <c r="BG19" s="527"/>
      <c r="BH19" s="527"/>
      <c r="BI19" s="527"/>
      <c r="BJ19" s="527"/>
      <c r="BK19" s="527"/>
      <c r="BL19" s="527"/>
      <c r="BM19" s="527"/>
      <c r="BN19" s="527"/>
      <c r="BO19" s="527"/>
      <c r="BP19" s="527"/>
      <c r="BQ19" s="527"/>
      <c r="BR19" s="527"/>
      <c r="BS19" s="527"/>
      <c r="BT19" s="527"/>
      <c r="BU19" s="527"/>
      <c r="BV19" s="433"/>
      <c r="BW19" s="433"/>
      <c r="BX19" s="433"/>
      <c r="BY19" s="433"/>
      <c r="BZ19" s="433"/>
      <c r="CA19" s="433"/>
      <c r="CB19" s="433"/>
      <c r="CC19" s="433"/>
      <c r="CD19" s="433"/>
      <c r="CE19" s="433"/>
      <c r="CF19" s="309">
        <v>0</v>
      </c>
    </row>
    <row s="1866" customFormat="1" customHeight="1" ht="22.5" hidden="1">
      <c r="A20" s="649"/>
      <c r="B20" s="433"/>
      <c r="C20" s="428"/>
      <c r="D20" s="2397"/>
      <c r="E20" s="2392" t="s">
        <v>766</v>
      </c>
      <c r="F20" s="2392"/>
      <c r="G20" s="2392"/>
      <c r="H20" s="2392"/>
      <c r="I20" s="2392"/>
      <c r="J20" s="2392"/>
      <c r="K20" s="2392"/>
      <c r="L20" s="2392"/>
      <c r="M20" s="2392"/>
      <c r="N20" s="2392"/>
      <c r="O20" s="2392"/>
      <c r="P20" s="2392"/>
      <c r="Q20" s="574">
        <f>SUMIF(T21:T22,"i",Q21:Q22)</f>
        <v>0</v>
      </c>
      <c r="R20" s="1033"/>
      <c r="S20" s="725" t="s">
        <v>767</v>
      </c>
      <c r="T20" s="733" t="s">
        <v>765</v>
      </c>
      <c r="U20" s="2390">
        <v>2</v>
      </c>
      <c r="V20" s="2390" t="str">
        <f>INDEX(B_FHD_FLAG_INDEX_2,1,MATCH(A14,B_FHD_FLAG_DIFFERENTIATION,0))</f>
        <v>отсутствует</v>
      </c>
      <c r="W20" s="433"/>
      <c r="X20" s="433"/>
      <c r="Y20" s="433"/>
      <c r="Z20" s="433"/>
      <c r="AA20" s="527"/>
      <c r="AB20" s="433"/>
      <c r="AC20" s="722"/>
      <c r="AD20" s="645"/>
      <c r="AE20" s="433"/>
      <c r="AF20" s="433"/>
      <c r="AG20" s="527"/>
      <c r="AH20" s="527"/>
      <c r="AI20" s="527"/>
      <c r="AJ20" s="527"/>
      <c r="AK20" s="527"/>
      <c r="AL20" s="527"/>
      <c r="AM20" s="527"/>
      <c r="AN20" s="527"/>
      <c r="AO20" s="527"/>
      <c r="AP20" s="527"/>
      <c r="AQ20" s="527"/>
      <c r="AR20" s="527"/>
      <c r="AS20" s="527"/>
      <c r="AT20" s="527"/>
      <c r="AU20" s="527"/>
      <c r="AV20" s="527"/>
      <c r="AW20" s="527"/>
      <c r="AX20" s="527"/>
      <c r="AY20" s="527"/>
      <c r="AZ20" s="527"/>
      <c r="BA20" s="527"/>
      <c r="BB20" s="527"/>
      <c r="BC20" s="527"/>
      <c r="BD20" s="527"/>
      <c r="BE20" s="527"/>
      <c r="BF20" s="527"/>
      <c r="BG20" s="527"/>
      <c r="BH20" s="527"/>
      <c r="BI20" s="527"/>
      <c r="BJ20" s="527"/>
      <c r="BK20" s="527"/>
      <c r="BL20" s="527"/>
      <c r="BM20" s="527"/>
      <c r="BN20" s="527"/>
      <c r="BO20" s="527"/>
      <c r="BP20" s="527"/>
      <c r="BQ20" s="527"/>
      <c r="BR20" s="527"/>
      <c r="BS20" s="527"/>
      <c r="BT20" s="527"/>
      <c r="BU20" s="527"/>
      <c r="BV20" s="433"/>
      <c r="BW20" s="433"/>
      <c r="BX20" s="433"/>
      <c r="BY20" s="433"/>
      <c r="BZ20" s="433"/>
      <c r="CA20" s="433"/>
      <c r="CB20" s="433"/>
      <c r="CC20" s="433"/>
      <c r="CD20" s="433"/>
      <c r="CE20" s="433"/>
      <c r="CF20" s="309">
        <v>0</v>
      </c>
    </row>
    <row s="1866" customFormat="1" customHeight="1" ht="11.25" hidden="1">
      <c r="A21" s="724"/>
      <c r="B21" s="527"/>
      <c r="C21" s="527"/>
      <c r="D21" s="2397"/>
      <c r="E21" s="651"/>
      <c r="F21" s="651">
        <v>0</v>
      </c>
      <c r="G21" s="651"/>
      <c r="H21" s="651"/>
      <c r="I21" s="651"/>
      <c r="J21" s="651"/>
      <c r="K21" s="651"/>
      <c r="L21" s="651"/>
      <c r="M21" s="651"/>
      <c r="N21" s="651"/>
      <c r="O21" s="651"/>
      <c r="P21" s="651"/>
      <c r="Q21" s="651"/>
      <c r="R21" s="651"/>
      <c r="S21" s="652"/>
      <c r="T21" s="734"/>
      <c r="U21" s="2390"/>
      <c r="V21" s="2390"/>
      <c r="W21" s="527"/>
      <c r="X21" s="527"/>
      <c r="Y21" s="527"/>
      <c r="Z21" s="527"/>
      <c r="AA21" s="527"/>
      <c r="AB21" s="433"/>
      <c r="AC21" s="722"/>
      <c r="AD21" s="645"/>
      <c r="AE21" s="433"/>
      <c r="AF21" s="433"/>
      <c r="AG21" s="527"/>
      <c r="AH21" s="527"/>
      <c r="AI21" s="527"/>
      <c r="AJ21" s="527"/>
      <c r="AK21" s="527"/>
      <c r="AL21" s="527"/>
      <c r="AM21" s="527"/>
      <c r="AN21" s="527"/>
      <c r="AO21" s="527"/>
      <c r="AP21" s="527"/>
      <c r="AQ21" s="527"/>
      <c r="AR21" s="527"/>
      <c r="AS21" s="527"/>
      <c r="AT21" s="527"/>
      <c r="AU21" s="527"/>
      <c r="AV21" s="527"/>
      <c r="AW21" s="527"/>
      <c r="AX21" s="527"/>
      <c r="AY21" s="527"/>
      <c r="AZ21" s="527"/>
      <c r="BA21" s="527"/>
      <c r="BB21" s="527"/>
      <c r="BC21" s="527"/>
      <c r="BD21" s="527"/>
      <c r="BE21" s="527"/>
      <c r="BF21" s="527"/>
      <c r="BG21" s="527"/>
      <c r="BH21" s="527"/>
      <c r="BI21" s="527"/>
      <c r="BJ21" s="527"/>
      <c r="BK21" s="527"/>
      <c r="BL21" s="527"/>
      <c r="BM21" s="527"/>
      <c r="BN21" s="527"/>
      <c r="BO21" s="527"/>
      <c r="BP21" s="527"/>
      <c r="BQ21" s="527"/>
      <c r="BR21" s="527"/>
      <c r="BS21" s="527"/>
      <c r="BT21" s="527"/>
      <c r="BU21" s="527"/>
      <c r="BV21" s="527"/>
      <c r="BW21" s="527"/>
      <c r="BX21" s="527"/>
      <c r="BY21" s="527"/>
      <c r="BZ21" s="527"/>
      <c r="CA21" s="527"/>
      <c r="CB21" s="527"/>
      <c r="CC21" s="527"/>
      <c r="CD21" s="527"/>
      <c r="CE21" s="527"/>
      <c r="CF21" s="309">
        <v>0</v>
      </c>
    </row>
    <row s="1866" customFormat="1" customHeight="1" ht="11.25" hidden="1">
      <c r="A22" s="649"/>
      <c r="B22" s="433"/>
      <c r="C22" s="428"/>
      <c r="D22" s="2398"/>
      <c r="E22" s="665" t="s">
        <v>28</v>
      </c>
      <c r="F22" s="666" t="s">
        <v>28</v>
      </c>
      <c r="G22" s="666" t="s">
        <v>28</v>
      </c>
      <c r="H22" s="667" t="s">
        <v>28</v>
      </c>
      <c r="I22" s="667"/>
      <c r="J22" s="667"/>
      <c r="K22" s="667"/>
      <c r="L22" s="667"/>
      <c r="M22" s="667"/>
      <c r="N22" s="667"/>
      <c r="O22" s="667"/>
      <c r="P22" s="667"/>
      <c r="Q22" s="667"/>
      <c r="R22" s="668"/>
      <c r="S22" s="1036"/>
      <c r="T22" s="734"/>
      <c r="U22" s="2390"/>
      <c r="V22" s="2390"/>
      <c r="W22" s="433"/>
      <c r="X22" s="433"/>
      <c r="Y22" s="433"/>
      <c r="Z22" s="433"/>
      <c r="AA22" s="527"/>
      <c r="AB22" s="433"/>
      <c r="AC22" s="722"/>
      <c r="AD22" s="645"/>
      <c r="AE22" s="433"/>
      <c r="AF22" s="433"/>
      <c r="AG22" s="527"/>
      <c r="AH22" s="527"/>
      <c r="AI22" s="527"/>
      <c r="AJ22" s="527"/>
      <c r="AK22" s="527"/>
      <c r="AL22" s="527"/>
      <c r="AM22" s="527"/>
      <c r="AN22" s="527"/>
      <c r="AO22" s="527"/>
      <c r="AP22" s="527"/>
      <c r="AQ22" s="527"/>
      <c r="AR22" s="527"/>
      <c r="AS22" s="527"/>
      <c r="AT22" s="527"/>
      <c r="AU22" s="527"/>
      <c r="AV22" s="527"/>
      <c r="AW22" s="527"/>
      <c r="AX22" s="527"/>
      <c r="AY22" s="527"/>
      <c r="AZ22" s="527"/>
      <c r="BA22" s="527"/>
      <c r="BB22" s="527"/>
      <c r="BC22" s="527"/>
      <c r="BD22" s="527"/>
      <c r="BE22" s="527"/>
      <c r="BF22" s="527"/>
      <c r="BG22" s="527"/>
      <c r="BH22" s="527"/>
      <c r="BI22" s="527"/>
      <c r="BJ22" s="527"/>
      <c r="BK22" s="527"/>
      <c r="BL22" s="527"/>
      <c r="BM22" s="527"/>
      <c r="BN22" s="527"/>
      <c r="BO22" s="527"/>
      <c r="BP22" s="527"/>
      <c r="BQ22" s="527"/>
      <c r="BR22" s="527"/>
      <c r="BS22" s="527"/>
      <c r="BT22" s="527"/>
      <c r="BU22" s="527"/>
      <c r="BV22" s="433"/>
      <c r="BW22" s="433"/>
      <c r="BX22" s="433"/>
      <c r="BY22" s="433"/>
      <c r="BZ22" s="433"/>
      <c r="CA22" s="433"/>
      <c r="CB22" s="433"/>
      <c r="CC22" s="433"/>
      <c r="CD22" s="433"/>
      <c r="CE22" s="433"/>
      <c r="CF22" s="309">
        <v>0</v>
      </c>
    </row>
    <row customHeight="1" ht="19.95">
      <c r="D23" s="1063"/>
      <c r="E23" s="1063"/>
      <c r="F23" s="1063"/>
      <c r="G23" s="1063"/>
      <c r="H23" s="1063"/>
      <c r="I23" s="1063"/>
      <c r="J23" s="1063"/>
      <c r="K23" s="1063"/>
      <c r="L23" s="1063"/>
      <c r="M23" s="1063"/>
      <c r="N23" s="1063"/>
      <c r="O23" s="1063"/>
      <c r="P23" s="1063"/>
      <c r="Q23" s="1063"/>
      <c r="R23" s="1063"/>
      <c r="S23" s="1063"/>
      <c r="T23" s="350"/>
      <c r="CF23" s="521">
        <v>19</v>
      </c>
    </row>
    <row customHeight="1" ht="11.549999999999999">
      <c r="D24" s="525"/>
      <c r="CF24" s="521">
        <v>11</v>
      </c>
    </row>
    <row customHeight="1" ht="11.549999999999999">
      <c r="D25" s="670"/>
      <c r="E25" s="670"/>
      <c r="F25" s="670"/>
      <c r="G25" s="671"/>
      <c r="CF25" s="521">
        <v>11</v>
      </c>
    </row>
    <row customHeight="1" ht="11.549999999999999">
      <c r="CF26" s="521">
        <v>11</v>
      </c>
    </row>
    <row customHeight="1" ht="11.549999999999999">
      <c r="D27" s="672"/>
      <c r="E27" s="2400"/>
      <c r="F27" s="2400"/>
      <c r="G27" s="2400"/>
      <c r="H27" s="2400"/>
      <c r="I27" s="2400"/>
      <c r="J27" s="2400"/>
      <c r="K27" s="2400"/>
      <c r="L27" s="2400"/>
      <c r="M27" s="2400"/>
      <c r="N27" s="2400"/>
      <c r="O27" s="2400"/>
      <c r="P27" s="2400"/>
      <c r="Q27" s="2400"/>
      <c r="R27" s="2400"/>
      <c r="CF27" s="521">
        <v>11</v>
      </c>
    </row>
    <row customHeight="1" ht="11.549999999999999">
      <c r="F28" s="774"/>
      <c r="G28" s="774"/>
      <c r="CF28" s="521">
        <v>11</v>
      </c>
    </row>
    <row customHeight="1" ht="11.25" hidden="1">
      <c r="A29" s="626" t="s">
        <v>85</v>
      </c>
      <c r="B29" s="465">
        <v>0</v>
      </c>
      <c r="C29" s="521">
        <v>3</v>
      </c>
      <c r="D29" s="521">
        <v>0</v>
      </c>
      <c r="E29" s="521">
        <v>7</v>
      </c>
      <c r="F29" s="521">
        <v>7</v>
      </c>
      <c r="G29" s="521">
        <v>29</v>
      </c>
      <c r="H29" s="521">
        <v>3</v>
      </c>
      <c r="I29" s="521">
        <v>5</v>
      </c>
      <c r="J29" s="521">
        <v>24</v>
      </c>
      <c r="K29" s="521">
        <v>24</v>
      </c>
      <c r="L29" s="521">
        <v>3</v>
      </c>
      <c r="M29" s="521">
        <v>6</v>
      </c>
      <c r="N29" s="521">
        <v>25</v>
      </c>
      <c r="O29" s="521">
        <v>18</v>
      </c>
      <c r="P29" s="521">
        <v>18</v>
      </c>
      <c r="Q29" s="521">
        <v>18</v>
      </c>
      <c r="R29" s="521">
        <v>18</v>
      </c>
      <c r="S29" s="521">
        <v>93</v>
      </c>
      <c r="T29" s="521">
        <v>10</v>
      </c>
      <c r="U29" s="627">
        <v>10</v>
      </c>
      <c r="V29" s="627">
        <v>11</v>
      </c>
      <c r="W29" s="628">
        <v>10</v>
      </c>
      <c r="X29" s="465">
        <v>10</v>
      </c>
      <c r="Y29" s="465">
        <v>10</v>
      </c>
      <c r="Z29" s="465">
        <v>10</v>
      </c>
      <c r="AA29" s="465">
        <v>10</v>
      </c>
      <c r="AB29" s="521">
        <v>8</v>
      </c>
      <c r="AC29" s="521">
        <v>8</v>
      </c>
      <c r="AD29" s="521">
        <v>8</v>
      </c>
      <c r="AE29" s="521">
        <v>8</v>
      </c>
      <c r="AF29" s="521">
        <v>8</v>
      </c>
      <c r="AG29" s="521">
        <v>8</v>
      </c>
      <c r="AH29" s="521">
        <v>8</v>
      </c>
      <c r="AI29" s="521">
        <v>8</v>
      </c>
      <c r="AJ29" s="521">
        <v>8</v>
      </c>
      <c r="AK29" s="521">
        <v>8</v>
      </c>
      <c r="AL29" s="521">
        <v>8</v>
      </c>
      <c r="AM29" s="521">
        <v>8</v>
      </c>
      <c r="AN29" s="521">
        <v>8</v>
      </c>
      <c r="AO29" s="521">
        <v>8</v>
      </c>
      <c r="AP29" s="521">
        <v>8</v>
      </c>
      <c r="AQ29" s="521">
        <v>8</v>
      </c>
      <c r="AR29" s="521">
        <v>8</v>
      </c>
      <c r="AS29" s="521">
        <v>8</v>
      </c>
      <c r="AT29" s="521">
        <v>8</v>
      </c>
      <c r="AU29" s="521">
        <v>8</v>
      </c>
      <c r="AV29" s="521">
        <v>8</v>
      </c>
      <c r="AW29" s="521">
        <v>8</v>
      </c>
      <c r="AX29" s="521">
        <v>8</v>
      </c>
      <c r="AY29" s="521">
        <v>8</v>
      </c>
      <c r="AZ29" s="521">
        <v>8</v>
      </c>
      <c r="BA29" s="521">
        <v>8</v>
      </c>
      <c r="BB29" s="521">
        <v>8</v>
      </c>
      <c r="BC29" s="521">
        <v>8</v>
      </c>
      <c r="BD29" s="521">
        <v>8</v>
      </c>
      <c r="BE29" s="521">
        <v>8</v>
      </c>
      <c r="BF29" s="521">
        <v>8</v>
      </c>
      <c r="BG29" s="521">
        <v>8</v>
      </c>
      <c r="BH29" s="521">
        <v>8</v>
      </c>
      <c r="BI29" s="521">
        <v>8</v>
      </c>
      <c r="BJ29" s="521">
        <v>8</v>
      </c>
      <c r="BK29" s="521">
        <v>8</v>
      </c>
      <c r="BL29" s="521">
        <v>8</v>
      </c>
      <c r="BM29" s="521">
        <v>8</v>
      </c>
      <c r="BN29" s="521">
        <v>8</v>
      </c>
      <c r="BO29" s="521">
        <v>8</v>
      </c>
      <c r="BP29" s="521">
        <v>8</v>
      </c>
      <c r="BQ29" s="521">
        <v>8</v>
      </c>
      <c r="BR29" s="521">
        <v>8</v>
      </c>
      <c r="BS29" s="521">
        <v>8</v>
      </c>
      <c r="BT29" s="521">
        <v>8</v>
      </c>
      <c r="BU29" s="521">
        <v>8</v>
      </c>
      <c r="BV29" s="521">
        <v>8</v>
      </c>
      <c r="BW29" s="521">
        <v>8</v>
      </c>
      <c r="BX29" s="521">
        <v>8</v>
      </c>
      <c r="BY29" s="521">
        <v>8</v>
      </c>
      <c r="BZ29" s="521">
        <v>8</v>
      </c>
      <c r="CA29" s="521">
        <v>8</v>
      </c>
      <c r="CB29" s="521">
        <v>8</v>
      </c>
      <c r="CC29" s="521">
        <v>8</v>
      </c>
      <c r="CD29" s="521">
        <v>8</v>
      </c>
      <c r="CE29" s="521">
        <v>8</v>
      </c>
      <c r="CF29" s="52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103FF-E316-A7CB-ED6B-BFC1E7C2BB7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03" width="10.7109375" hidden="1" customWidth="1"/>
    <col min="6" max="6" style="1382" width="16.8515625" hidden="1" customWidth="1"/>
    <col min="7" max="7" style="1658" width="5.57421875" hidden="1" customWidth="1"/>
    <col min="8" max="8" style="1651" width="3.00390625" customWidth="1"/>
    <col min="9" max="9" style="1651" width="7.00390625" customWidth="1"/>
    <col min="10" max="10" style="1651" width="56.00390625" customWidth="1"/>
    <col min="11" max="11" style="1651" width="10.00390625" customWidth="1"/>
    <col min="12" max="12" style="1651" width="40.57421875" hidden="1" customWidth="1"/>
    <col min="13" max="13" style="1651" width="40.7109375" customWidth="1"/>
    <col min="14" max="14" style="1382" width="9.7109375" hidden="1" customWidth="1"/>
    <col min="15" max="15" style="1651" width="102.00390625" customWidth="1"/>
    <col min="16" max="16" style="1382" width="9.00390625" customWidth="1"/>
    <col min="17" max="17" style="1658" width="5.00390625" customWidth="1"/>
    <col min="18" max="18" style="1658" width="3.00390625" customWidth="1"/>
    <col min="19" max="22" style="1382" width="3.00390625" customWidth="1"/>
    <col min="23" max="23" style="1658" width="10.00390625" customWidth="1"/>
    <col min="24" max="24" style="1382" width="34.00390625" customWidth="1"/>
    <col min="25" max="25" style="1382" width="9.00390625" customWidth="1"/>
    <col min="26" max="26" style="752" width="8.00390625" customWidth="1"/>
    <col min="27" max="31" style="1382" width="8.00390625" customWidth="1"/>
    <col min="32" max="36" style="1648" width="8.00390625" customWidth="1"/>
    <col min="37" max="37" style="1651" width="5.421875" hidden="1" customWidth="1"/>
  </cols>
  <sheetData>
    <row s="1382" customFormat="1" customHeight="1" ht="33.75" hidden="1">
      <c r="A1" s="1003"/>
      <c r="B1" s="1003"/>
      <c r="C1" s="1003"/>
      <c r="D1" s="1003"/>
      <c r="E1" s="1003"/>
      <c r="G1" s="1652"/>
      <c r="H1" s="894"/>
      <c r="L1" s="1382">
        <v>4</v>
      </c>
      <c r="M1" s="1382">
        <v>4</v>
      </c>
      <c r="Q1" s="1652"/>
      <c r="R1" s="1652"/>
      <c r="W1" s="1652"/>
      <c r="AK1" s="1382" t="s">
        <v>14</v>
      </c>
    </row>
    <row s="1382" customFormat="1" customHeight="1" ht="78.75" hidden="1">
      <c r="A2" s="1003"/>
      <c r="B2" s="2069" t="s">
        <v>768</v>
      </c>
      <c r="C2" s="2069" t="s">
        <v>769</v>
      </c>
      <c r="D2" s="2068" t="s">
        <v>770</v>
      </c>
      <c r="E2" s="2072">
        <f>RIGHT(I2,LEN(I2)-SEARCH("#",SUBSTITUTE(I2,".","#",LEN(I2)-LEN(SUBSTITUTE(I2,".","")))))</f>
      </c>
      <c r="F2" s="2074">
        <f>J2</f>
        <v>0</v>
      </c>
      <c r="G2" s="1652"/>
      <c r="H2" s="2075"/>
      <c r="I2" s="2065"/>
      <c r="J2" s="556"/>
      <c r="K2" s="2035" t="s">
        <v>709</v>
      </c>
      <c r="L2" s="767"/>
      <c r="M2" s="767"/>
      <c r="N2" s="559"/>
      <c r="O2" s="1541" t="s">
        <v>710</v>
      </c>
      <c r="P2" s="559"/>
      <c r="Q2" s="1652"/>
      <c r="R2" s="1652"/>
      <c r="W2" s="1652"/>
      <c r="Z2" s="560"/>
      <c r="AF2" s="1648"/>
      <c r="AG2" s="1648"/>
      <c r="AH2" s="1648"/>
      <c r="AI2" s="1648"/>
      <c r="AJ2" s="1648"/>
      <c r="AK2" s="1382">
        <v>0</v>
      </c>
    </row>
    <row customHeight="1" ht="11.25" hidden="1">
      <c r="E3" s="2067" t="s">
        <v>771</v>
      </c>
      <c r="L3" s="1647">
        <f>0</f>
        <v>0</v>
      </c>
      <c r="M3" s="1647">
        <v>1</v>
      </c>
      <c r="AK3" s="1647">
        <v>0</v>
      </c>
    </row>
    <row s="1648" customFormat="1" customHeight="1" ht="11.25" hidden="1">
      <c r="A4" s="1003"/>
      <c r="B4" s="1003"/>
      <c r="C4" s="1003"/>
      <c r="E4" s="1003"/>
      <c r="F4" s="1382"/>
      <c r="G4" s="1652"/>
      <c r="H4" s="636"/>
      <c r="N4" s="1382"/>
      <c r="O4" s="1648">
        <v>4</v>
      </c>
      <c r="P4" s="1382"/>
      <c r="Q4" s="1652"/>
      <c r="R4" s="1652"/>
      <c r="S4" s="1382"/>
      <c r="T4" s="1382"/>
      <c r="U4" s="1382"/>
      <c r="V4" s="1382"/>
      <c r="W4" s="1652"/>
      <c r="X4" s="1382"/>
      <c r="Y4" s="1382"/>
      <c r="Z4" s="560"/>
      <c r="AA4" s="1382"/>
      <c r="AB4" s="1382"/>
      <c r="AC4" s="1382"/>
      <c r="AD4" s="1382"/>
      <c r="AE4" s="1382"/>
      <c r="AK4" s="1648">
        <v>0</v>
      </c>
    </row>
    <row customHeight="1" ht="11.549999999999999">
      <c r="AK5" s="1647">
        <v>11</v>
      </c>
    </row>
    <row customHeight="1" ht="57.75">
      <c r="I6" s="2323" t="s">
        <v>772</v>
      </c>
      <c r="J6" s="2323"/>
      <c r="K6" s="2323"/>
      <c r="L6" s="2323"/>
      <c r="M6" s="2323"/>
      <c r="O6" s="572"/>
      <c r="AK6" s="1647">
        <v>55</v>
      </c>
    </row>
    <row customHeight="1" ht="25.2">
      <c r="I7" s="2265" t="str">
        <f>IF(org=0,"Не определено",org)</f>
        <v>КГУП "Примтеплоэнерго"</v>
      </c>
      <c r="J7" s="2265"/>
      <c r="K7" s="2265"/>
      <c r="L7" s="2265"/>
      <c r="M7" s="2265"/>
      <c r="AK7" s="1647">
        <v>24</v>
      </c>
    </row>
    <row customHeight="1" ht="11.549999999999999">
      <c r="I8" s="1151"/>
      <c r="J8" s="1151"/>
      <c r="K8" s="1151"/>
      <c r="L8" s="1151"/>
      <c r="M8" s="1151"/>
      <c r="AK8" s="1647">
        <v>11</v>
      </c>
    </row>
    <row s="1658" customFormat="1" customHeight="1" ht="30" hidden="1">
      <c r="A9" s="1183"/>
      <c r="B9" s="1183"/>
      <c r="C9" s="1183"/>
      <c r="E9" s="1183"/>
      <c r="H9" s="1658"/>
      <c r="L9" s="905"/>
      <c r="M9" s="905" t="s">
        <v>186</v>
      </c>
      <c r="AK9" s="1652">
        <v>1</v>
      </c>
    </row>
    <row customHeight="1" ht="11.549999999999999">
      <c r="E10" s="2066" t="s">
        <v>773</v>
      </c>
      <c r="I10" s="727"/>
      <c r="J10" s="2383" t="s">
        <v>178</v>
      </c>
      <c r="K10" s="2384"/>
      <c r="L10" s="2045" t="str">
        <f>IF(L9="","",INDEX(DIFFERENTIATION_UNMERGE_VD,MATCH(L9,DIFFERENTIATION_ID_DIFF,0)))</f>
        <v/>
      </c>
      <c r="M10" s="2045">
        <f>IF(M9="","",INDEX(DIFFERENTIATION_UNMERGE_VD,MATCH(M9,DIFFERENTIATION_ID_DIFF,0)))</f>
        <v>0</v>
      </c>
      <c r="O10" s="2143" t="s">
        <v>454</v>
      </c>
      <c r="AK10" s="1647">
        <v>11</v>
      </c>
    </row>
    <row customHeight="1" ht="11.549999999999999">
      <c r="E11" s="2066" t="s">
        <v>774</v>
      </c>
      <c r="I11" s="727"/>
      <c r="J11" s="2383" t="s">
        <v>717</v>
      </c>
      <c r="K11" s="2384"/>
      <c r="L11" s="2045" t="str">
        <f>IF(L9="","",INDEX(DIFFERENTIATION_UNMERGE_AREA,MATCH(L9,DIFFERENTIATION_ID_DIFF,0)))</f>
        <v/>
      </c>
      <c r="M11" s="2045" t="str">
        <f>IF(M9="","",INDEX(DIFFERENTIATION_UNMERGE_AREA,MATCH(M9,DIFFERENTIATION_ID_DIFF,0)))</f>
        <v/>
      </c>
      <c r="O11" s="2143"/>
      <c r="AK11" s="1647">
        <v>11</v>
      </c>
    </row>
    <row customHeight="1" ht="11.549999999999999">
      <c r="E12" s="2066" t="s">
        <v>775</v>
      </c>
      <c r="I12" s="1678"/>
      <c r="J12" s="2383" t="s">
        <v>718</v>
      </c>
      <c r="K12" s="2384"/>
      <c r="L12" s="2045" t="str">
        <f>IF(L9="","",INDEX(DIFFERENTIATION_UNMERGE_SYSTEM,MATCH(L9,DIFFERENTIATION_ID_DIFF,0)))</f>
        <v/>
      </c>
      <c r="M12" s="2045" t="str">
        <f>IF(M9="","",INDEX(DIFFERENTIATION_UNMERGE_SYSTEM,MATCH(M9,DIFFERENTIATION_ID_DIFF,0)))</f>
        <v>без дифференциации</v>
      </c>
      <c r="O12" s="2143"/>
      <c r="AK12" s="1647">
        <v>11</v>
      </c>
    </row>
    <row customHeight="1" ht="11.549999999999999">
      <c r="E13" s="2066" t="s">
        <v>776</v>
      </c>
      <c r="F13" s="2066" t="s">
        <v>777</v>
      </c>
      <c r="I13" s="2385" t="s">
        <v>453</v>
      </c>
      <c r="J13" s="2386"/>
      <c r="K13" s="2386"/>
      <c r="L13" s="2043"/>
      <c r="M13" s="2083"/>
      <c r="O13" s="2143"/>
      <c r="AK13" s="1647">
        <v>11</v>
      </c>
    </row>
    <row customHeight="1" ht="24">
      <c r="I14" s="2036" t="s">
        <v>91</v>
      </c>
      <c r="J14" s="2036" t="s">
        <v>455</v>
      </c>
      <c r="K14" s="2036" t="s">
        <v>719</v>
      </c>
      <c r="L14" s="2076" t="s">
        <v>456</v>
      </c>
      <c r="M14" s="2077" t="s">
        <v>456</v>
      </c>
      <c r="O14" s="2143"/>
      <c r="AK14" s="1647">
        <v>23</v>
      </c>
    </row>
    <row customHeight="1" ht="24">
      <c r="A15" s="2070"/>
      <c r="B15" s="2069" t="s">
        <v>778</v>
      </c>
      <c r="C15" s="2069" t="s">
        <v>779</v>
      </c>
      <c r="D15" s="2068" t="s">
        <v>780</v>
      </c>
      <c r="E15" s="2072" t="s">
        <v>781</v>
      </c>
      <c r="F15" s="2072" t="s">
        <v>781</v>
      </c>
      <c r="G15" s="1652" t="s">
        <v>741</v>
      </c>
      <c r="H15" s="2037"/>
      <c r="I15" s="1646">
        <v>1</v>
      </c>
      <c r="J15" s="2038" t="s">
        <v>782</v>
      </c>
      <c r="K15" s="2036" t="s">
        <v>459</v>
      </c>
      <c r="L15" s="678"/>
      <c r="M15" s="834"/>
      <c r="N15" s="559" t="s">
        <v>783</v>
      </c>
      <c r="O15" s="1541" t="s">
        <v>784</v>
      </c>
      <c r="P15" s="559" t="s">
        <v>783</v>
      </c>
      <c r="AK15" s="1647">
        <v>23</v>
      </c>
    </row>
    <row customHeight="1" ht="35.699999999999996">
      <c r="A16" s="2070"/>
      <c r="B16" s="2069" t="s">
        <v>785</v>
      </c>
      <c r="C16" s="2069" t="s">
        <v>786</v>
      </c>
      <c r="D16" s="2068" t="s">
        <v>770</v>
      </c>
      <c r="E16" s="2072" t="s">
        <v>781</v>
      </c>
      <c r="F16" s="2072" t="s">
        <v>781</v>
      </c>
      <c r="H16" s="2037"/>
      <c r="I16" s="1645">
        <v>2</v>
      </c>
      <c r="J16" s="2079" t="s">
        <v>787</v>
      </c>
      <c r="K16" s="2078" t="s">
        <v>709</v>
      </c>
      <c r="L16" s="2084"/>
      <c r="M16" s="1692"/>
      <c r="N16" s="559" t="s">
        <v>783</v>
      </c>
      <c r="O16" s="1541" t="s">
        <v>788</v>
      </c>
      <c r="P16" s="559" t="s">
        <v>783</v>
      </c>
      <c r="AK16" s="1647">
        <v>34</v>
      </c>
    </row>
    <row s="1658" customFormat="1" customHeight="1" ht="17.25" hidden="1">
      <c r="A17" s="1183"/>
      <c r="B17" s="1183"/>
      <c r="C17" s="1183"/>
      <c r="D17" s="1183"/>
      <c r="E17" s="1183"/>
      <c r="H17" s="1340"/>
      <c r="I17" s="1029" t="s">
        <v>789</v>
      </c>
      <c r="J17" s="1007"/>
      <c r="K17" s="1029"/>
      <c r="L17" s="1008"/>
      <c r="M17" s="1008"/>
      <c r="O17" s="1401"/>
      <c r="AK17" s="1652">
        <v>1</v>
      </c>
    </row>
    <row s="1382" customFormat="1" customHeight="1" ht="24">
      <c r="A18" s="1003"/>
      <c r="B18" s="1003"/>
      <c r="C18" s="1003"/>
      <c r="D18" s="1003"/>
      <c r="E18" s="1003"/>
      <c r="G18" s="1652"/>
      <c r="H18" s="1649"/>
      <c r="I18" s="586"/>
      <c r="J18" s="587" t="s">
        <v>739</v>
      </c>
      <c r="K18" s="588"/>
      <c r="L18" s="2086"/>
      <c r="M18" s="589"/>
      <c r="N18" s="559"/>
      <c r="O18" s="1541" t="s">
        <v>740</v>
      </c>
      <c r="P18" s="559"/>
      <c r="Q18" s="1652"/>
      <c r="R18" s="1652"/>
      <c r="W18" s="1652"/>
      <c r="Z18" s="560"/>
      <c r="AF18" s="1648"/>
      <c r="AG18" s="1648"/>
      <c r="AH18" s="1648"/>
      <c r="AI18" s="1648"/>
      <c r="AJ18" s="1648"/>
      <c r="AK18" s="1382">
        <v>23</v>
      </c>
    </row>
    <row customHeight="1" ht="19.95">
      <c r="A19" s="2070"/>
      <c r="B19" s="2069" t="s">
        <v>790</v>
      </c>
      <c r="C19" s="2069" t="s">
        <v>791</v>
      </c>
      <c r="D19" s="2068" t="s">
        <v>770</v>
      </c>
      <c r="E19" s="2072" t="s">
        <v>781</v>
      </c>
      <c r="F19" s="2072" t="s">
        <v>781</v>
      </c>
      <c r="H19" s="2037"/>
      <c r="I19" s="1680">
        <v>3</v>
      </c>
      <c r="J19" s="2038" t="s">
        <v>791</v>
      </c>
      <c r="K19" s="2034" t="s">
        <v>709</v>
      </c>
      <c r="L19" s="743"/>
      <c r="M19" s="573"/>
      <c r="N19" s="559"/>
      <c r="O19" s="1541" t="s">
        <v>792</v>
      </c>
      <c r="P19" s="559"/>
      <c r="AK19" s="1647">
        <v>19</v>
      </c>
    </row>
    <row customHeight="1" ht="77.7">
      <c r="A20" s="2070"/>
      <c r="B20" s="2069" t="s">
        <v>793</v>
      </c>
      <c r="C20" s="2069" t="s">
        <v>794</v>
      </c>
      <c r="D20" s="2068" t="s">
        <v>770</v>
      </c>
      <c r="E20" s="2072" t="s">
        <v>781</v>
      </c>
      <c r="F20" s="2072" t="s">
        <v>781</v>
      </c>
      <c r="H20" s="2037"/>
      <c r="I20" s="1680">
        <v>4</v>
      </c>
      <c r="J20" s="2038" t="s">
        <v>795</v>
      </c>
      <c r="K20" s="2034" t="s">
        <v>736</v>
      </c>
      <c r="L20" s="743"/>
      <c r="M20" s="573"/>
      <c r="N20" s="559"/>
      <c r="O20" s="1541"/>
      <c r="P20" s="559"/>
      <c r="AK20" s="1647">
        <v>74</v>
      </c>
    </row>
    <row customHeight="1" ht="35.699999999999996">
      <c r="A21" s="2070"/>
      <c r="B21" s="2069" t="s">
        <v>796</v>
      </c>
      <c r="C21" s="2069" t="s">
        <v>797</v>
      </c>
      <c r="D21" s="2068" t="s">
        <v>770</v>
      </c>
      <c r="E21" s="2072" t="s">
        <v>781</v>
      </c>
      <c r="F21" s="2072" t="s">
        <v>781</v>
      </c>
      <c r="H21" s="2037"/>
      <c r="I21" s="1680">
        <v>5</v>
      </c>
      <c r="J21" s="2038" t="s">
        <v>798</v>
      </c>
      <c r="K21" s="2034" t="s">
        <v>736</v>
      </c>
      <c r="L21" s="743"/>
      <c r="M21" s="573"/>
      <c r="N21" s="559"/>
      <c r="O21" s="1541" t="s">
        <v>792</v>
      </c>
      <c r="P21" s="559"/>
      <c r="AK21" s="1647">
        <v>34</v>
      </c>
    </row>
    <row customHeight="1" ht="48.29999999999999">
      <c r="A22" s="2070"/>
      <c r="B22" s="2069" t="s">
        <v>799</v>
      </c>
      <c r="C22" s="2069" t="s">
        <v>800</v>
      </c>
      <c r="D22" s="2068" t="s">
        <v>770</v>
      </c>
      <c r="E22" s="2072" t="s">
        <v>781</v>
      </c>
      <c r="F22" s="2072" t="s">
        <v>781</v>
      </c>
      <c r="H22" s="2037"/>
      <c r="I22" s="1680">
        <v>6</v>
      </c>
      <c r="J22" s="2038" t="s">
        <v>801</v>
      </c>
      <c r="K22" s="2034" t="s">
        <v>736</v>
      </c>
      <c r="L22" s="743"/>
      <c r="M22" s="573"/>
      <c r="N22" s="559"/>
      <c r="O22" s="1541" t="s">
        <v>802</v>
      </c>
      <c r="P22" s="559"/>
      <c r="AK22" s="1647">
        <v>46</v>
      </c>
    </row>
    <row customHeight="1" ht="19.95">
      <c r="A23" s="2070"/>
      <c r="B23" s="2069" t="s">
        <v>803</v>
      </c>
      <c r="C23" s="2069" t="s">
        <v>804</v>
      </c>
      <c r="D23" s="2068" t="s">
        <v>770</v>
      </c>
      <c r="E23" s="2072" t="s">
        <v>781</v>
      </c>
      <c r="F23" s="2072" t="s">
        <v>781</v>
      </c>
      <c r="H23" s="2037"/>
      <c r="I23" s="1680" t="s">
        <v>805</v>
      </c>
      <c r="J23" s="1540" t="s">
        <v>806</v>
      </c>
      <c r="K23" s="2034" t="s">
        <v>736</v>
      </c>
      <c r="L23" s="743"/>
      <c r="M23" s="573"/>
      <c r="N23" s="559"/>
      <c r="O23" s="1541" t="s">
        <v>792</v>
      </c>
      <c r="P23" s="559"/>
      <c r="AK23" s="1647">
        <v>19</v>
      </c>
    </row>
    <row customHeight="1" ht="19.95">
      <c r="A24" s="2070"/>
      <c r="B24" s="2069" t="s">
        <v>807</v>
      </c>
      <c r="C24" s="2069" t="s">
        <v>808</v>
      </c>
      <c r="D24" s="2068" t="s">
        <v>770</v>
      </c>
      <c r="E24" s="2072" t="s">
        <v>781</v>
      </c>
      <c r="F24" s="2072" t="s">
        <v>781</v>
      </c>
      <c r="H24" s="2037"/>
      <c r="I24" s="1680" t="s">
        <v>809</v>
      </c>
      <c r="J24" s="1540" t="s">
        <v>810</v>
      </c>
      <c r="K24" s="2034" t="s">
        <v>736</v>
      </c>
      <c r="L24" s="743"/>
      <c r="M24" s="573"/>
      <c r="N24" s="559"/>
      <c r="O24" s="1541"/>
      <c r="P24" s="559"/>
      <c r="AK24" s="1647">
        <v>19</v>
      </c>
    </row>
    <row customHeight="1" ht="24">
      <c r="A25" s="2070"/>
      <c r="B25" s="2069" t="s">
        <v>811</v>
      </c>
      <c r="C25" s="2069" t="s">
        <v>812</v>
      </c>
      <c r="D25" s="2068" t="s">
        <v>770</v>
      </c>
      <c r="E25" s="2072" t="s">
        <v>781</v>
      </c>
      <c r="F25" s="2072" t="s">
        <v>781</v>
      </c>
      <c r="H25" s="2037"/>
      <c r="I25" s="1680" t="s">
        <v>813</v>
      </c>
      <c r="J25" s="1540" t="s">
        <v>814</v>
      </c>
      <c r="K25" s="2034" t="s">
        <v>736</v>
      </c>
      <c r="L25" s="743"/>
      <c r="M25" s="573"/>
      <c r="N25" s="559"/>
      <c r="O25" s="1541"/>
      <c r="P25" s="559"/>
      <c r="AK25" s="1647">
        <v>23</v>
      </c>
    </row>
    <row customHeight="1" ht="24">
      <c r="A26" s="2070"/>
      <c r="B26" s="2069" t="s">
        <v>815</v>
      </c>
      <c r="C26" s="2069" t="s">
        <v>816</v>
      </c>
      <c r="D26" s="2068" t="s">
        <v>770</v>
      </c>
      <c r="E26" s="2072" t="s">
        <v>781</v>
      </c>
      <c r="F26" s="2072" t="s">
        <v>781</v>
      </c>
      <c r="H26" s="2037"/>
      <c r="I26" s="1680">
        <v>7</v>
      </c>
      <c r="J26" s="2038" t="s">
        <v>816</v>
      </c>
      <c r="K26" s="2034" t="s">
        <v>817</v>
      </c>
      <c r="L26" s="743"/>
      <c r="M26" s="573"/>
      <c r="N26" s="559"/>
      <c r="O26" s="1541"/>
      <c r="P26" s="559"/>
      <c r="AK26" s="1647">
        <v>23</v>
      </c>
    </row>
    <row customHeight="1" ht="24">
      <c r="A27" s="2070"/>
      <c r="B27" s="2069" t="s">
        <v>818</v>
      </c>
      <c r="C27" s="2069" t="s">
        <v>819</v>
      </c>
      <c r="D27" s="2068" t="s">
        <v>770</v>
      </c>
      <c r="E27" s="2072" t="s">
        <v>781</v>
      </c>
      <c r="F27" s="2072" t="s">
        <v>781</v>
      </c>
      <c r="H27" s="2037"/>
      <c r="I27" s="1680">
        <v>8</v>
      </c>
      <c r="J27" s="2038" t="s">
        <v>819</v>
      </c>
      <c r="K27" s="2034" t="s">
        <v>742</v>
      </c>
      <c r="L27" s="743"/>
      <c r="M27" s="573"/>
      <c r="N27" s="559"/>
      <c r="O27" s="1541"/>
      <c r="P27" s="559"/>
      <c r="AK27" s="1647">
        <v>23</v>
      </c>
    </row>
    <row customHeight="1" ht="35.699999999999996">
      <c r="A28" s="2070"/>
      <c r="B28" s="2069" t="s">
        <v>820</v>
      </c>
      <c r="C28" s="2069" t="s">
        <v>821</v>
      </c>
      <c r="D28" s="2068" t="s">
        <v>770</v>
      </c>
      <c r="E28" s="2072" t="s">
        <v>781</v>
      </c>
      <c r="F28" s="2072" t="s">
        <v>781</v>
      </c>
      <c r="H28" s="2037"/>
      <c r="I28" s="1691">
        <v>9</v>
      </c>
      <c r="J28" s="2038" t="s">
        <v>822</v>
      </c>
      <c r="K28" s="2034" t="s">
        <v>713</v>
      </c>
      <c r="L28" s="743"/>
      <c r="M28" s="573"/>
      <c r="N28" s="559"/>
      <c r="O28" s="1541"/>
      <c r="P28" s="559"/>
      <c r="AK28" s="1647">
        <v>34</v>
      </c>
    </row>
    <row customHeight="1" ht="35.699999999999996">
      <c r="A29" s="2070"/>
      <c r="B29" s="2069" t="s">
        <v>823</v>
      </c>
      <c r="C29" s="2069" t="s">
        <v>824</v>
      </c>
      <c r="D29" s="2068" t="s">
        <v>770</v>
      </c>
      <c r="E29" s="2072" t="s">
        <v>781</v>
      </c>
      <c r="F29" s="2072" t="s">
        <v>781</v>
      </c>
      <c r="H29" s="2037"/>
      <c r="I29" s="1691">
        <v>10</v>
      </c>
      <c r="J29" s="2038" t="s">
        <v>825</v>
      </c>
      <c r="K29" s="2034" t="s">
        <v>713</v>
      </c>
      <c r="L29" s="743"/>
      <c r="M29" s="573"/>
      <c r="N29" s="559"/>
      <c r="O29" s="1541"/>
      <c r="P29" s="559"/>
      <c r="AK29" s="1647">
        <v>34</v>
      </c>
    </row>
    <row customHeight="1" ht="24">
      <c r="A30" s="2070"/>
      <c r="B30" s="2069" t="s">
        <v>826</v>
      </c>
      <c r="C30" s="2069" t="s">
        <v>827</v>
      </c>
      <c r="D30" s="2068" t="s">
        <v>770</v>
      </c>
      <c r="E30" s="2072" t="s">
        <v>781</v>
      </c>
      <c r="F30" s="2072" t="s">
        <v>781</v>
      </c>
      <c r="H30" s="2037"/>
      <c r="I30" s="1691">
        <v>11</v>
      </c>
      <c r="J30" s="2038" t="s">
        <v>827</v>
      </c>
      <c r="K30" s="2034" t="s">
        <v>743</v>
      </c>
      <c r="L30" s="2085"/>
      <c r="M30" s="1637"/>
      <c r="N30" s="559"/>
      <c r="O30" s="1541"/>
      <c r="P30" s="559"/>
      <c r="AK30" s="1647">
        <v>23</v>
      </c>
    </row>
    <row customHeight="1" ht="24">
      <c r="A31" s="2070"/>
      <c r="B31" s="2069" t="s">
        <v>828</v>
      </c>
      <c r="C31" s="2069" t="s">
        <v>829</v>
      </c>
      <c r="D31" s="2068" t="s">
        <v>770</v>
      </c>
      <c r="E31" s="2072" t="s">
        <v>781</v>
      </c>
      <c r="F31" s="2072" t="s">
        <v>781</v>
      </c>
      <c r="H31" s="2037"/>
      <c r="I31" s="1691">
        <v>12</v>
      </c>
      <c r="J31" s="2038" t="s">
        <v>829</v>
      </c>
      <c r="K31" s="2034" t="s">
        <v>743</v>
      </c>
      <c r="L31" s="2085"/>
      <c r="M31" s="1637"/>
      <c r="N31" s="559"/>
      <c r="O31" s="1541"/>
      <c r="P31" s="559"/>
      <c r="AK31" s="1647">
        <v>23</v>
      </c>
    </row>
    <row customHeight="1" ht="48.29999999999999">
      <c r="A32" s="2070"/>
      <c r="B32" s="2069" t="s">
        <v>830</v>
      </c>
      <c r="C32" s="2069" t="s">
        <v>831</v>
      </c>
      <c r="D32" s="2068" t="s">
        <v>770</v>
      </c>
      <c r="E32" s="2072" t="s">
        <v>781</v>
      </c>
      <c r="F32" s="2072" t="s">
        <v>781</v>
      </c>
      <c r="H32" s="2037"/>
      <c r="I32" s="1691">
        <v>13</v>
      </c>
      <c r="J32" s="2038" t="s">
        <v>832</v>
      </c>
      <c r="K32" s="2034" t="s">
        <v>753</v>
      </c>
      <c r="L32" s="743"/>
      <c r="M32" s="573"/>
      <c r="N32" s="559"/>
      <c r="O32" s="1541" t="s">
        <v>792</v>
      </c>
      <c r="P32" s="559"/>
      <c r="AK32" s="1647">
        <v>46</v>
      </c>
    </row>
    <row s="1382" customFormat="1" customHeight="1" ht="48.29999999999999">
      <c r="A33" s="2070"/>
      <c r="B33" s="2069" t="s">
        <v>833</v>
      </c>
      <c r="C33" s="2069" t="s">
        <v>834</v>
      </c>
      <c r="D33" s="2068" t="s">
        <v>770</v>
      </c>
      <c r="E33" s="2072" t="s">
        <v>781</v>
      </c>
      <c r="F33" s="2072" t="s">
        <v>781</v>
      </c>
      <c r="G33" s="1652"/>
      <c r="H33" s="2037"/>
      <c r="I33" s="1691">
        <v>14</v>
      </c>
      <c r="J33" s="2050" t="s">
        <v>835</v>
      </c>
      <c r="K33" s="2039" t="s">
        <v>836</v>
      </c>
      <c r="L33" s="743"/>
      <c r="M33" s="573"/>
      <c r="N33" s="559"/>
      <c r="O33" s="1541" t="s">
        <v>792</v>
      </c>
      <c r="P33" s="559"/>
      <c r="Q33" s="1652"/>
      <c r="R33" s="1652"/>
      <c r="W33" s="1652"/>
      <c r="Z33" s="560"/>
      <c r="AF33" s="1648"/>
      <c r="AG33" s="1648"/>
      <c r="AH33" s="1648"/>
      <c r="AI33" s="1648"/>
      <c r="AJ33" s="1648"/>
      <c r="AK33" s="1382">
        <v>46</v>
      </c>
    </row>
    <row customHeight="1" ht="108">
      <c r="A34" s="2070"/>
      <c r="B34" s="2069" t="s">
        <v>837</v>
      </c>
      <c r="C34" s="2069" t="s">
        <v>838</v>
      </c>
      <c r="D34" s="2068" t="s">
        <v>780</v>
      </c>
      <c r="E34" s="2072" t="s">
        <v>781</v>
      </c>
      <c r="F34" s="2072" t="s">
        <v>781</v>
      </c>
      <c r="G34" s="1652" t="s">
        <v>741</v>
      </c>
      <c r="H34" s="2037"/>
      <c r="I34" s="2048">
        <v>15</v>
      </c>
      <c r="J34" s="2049" t="s">
        <v>839</v>
      </c>
      <c r="K34" s="2034" t="s">
        <v>459</v>
      </c>
      <c r="L34" s="401"/>
      <c r="M34" s="1180"/>
      <c r="N34" s="559"/>
      <c r="O34" s="1541" t="s">
        <v>784</v>
      </c>
      <c r="P34" s="559"/>
      <c r="AK34" s="1647">
        <v>103</v>
      </c>
    </row>
    <row s="1657" customFormat="1" customHeight="1" ht="11.549999999999999">
      <c r="A35" s="1003"/>
      <c r="B35" s="1003"/>
      <c r="C35" s="1003"/>
      <c r="D35" s="1003"/>
      <c r="E35" s="1003"/>
      <c r="F35" s="1652"/>
      <c r="G35" s="1652"/>
      <c r="H35" s="367"/>
      <c r="N35" s="1382"/>
      <c r="P35" s="1382"/>
      <c r="Q35" s="1652"/>
      <c r="R35" s="1652"/>
      <c r="S35" s="1382"/>
      <c r="T35" s="1382"/>
      <c r="U35" s="1382"/>
      <c r="V35" s="1382"/>
      <c r="W35" s="1652"/>
      <c r="X35" s="1382"/>
      <c r="Y35" s="1382"/>
      <c r="Z35" s="560"/>
      <c r="AA35" s="1382"/>
      <c r="AB35" s="1382"/>
      <c r="AC35" s="1382"/>
      <c r="AD35" s="1382"/>
      <c r="AE35" s="1382"/>
      <c r="AF35" s="1648"/>
      <c r="AG35" s="638"/>
      <c r="AH35" s="638"/>
      <c r="AI35" s="638"/>
      <c r="AJ35" s="638"/>
      <c r="AK35" s="1657">
        <v>11</v>
      </c>
    </row>
    <row s="1657" customFormat="1" customHeight="1" ht="11.549999999999999">
      <c r="A36" s="1003"/>
      <c r="B36" s="1003"/>
      <c r="C36" s="1003"/>
      <c r="D36" s="1003"/>
      <c r="E36" s="1003"/>
      <c r="F36" s="1652"/>
      <c r="G36" s="1652"/>
      <c r="H36" s="367"/>
      <c r="N36" s="1382"/>
      <c r="P36" s="1382"/>
      <c r="Q36" s="1652"/>
      <c r="R36" s="1652"/>
      <c r="S36" s="1382"/>
      <c r="T36" s="1382"/>
      <c r="U36" s="1382"/>
      <c r="V36" s="1382"/>
      <c r="W36" s="1652"/>
      <c r="X36" s="1382"/>
      <c r="Y36" s="1382"/>
      <c r="Z36" s="560"/>
      <c r="AA36" s="1382"/>
      <c r="AB36" s="1382"/>
      <c r="AC36" s="1382"/>
      <c r="AD36" s="1382"/>
      <c r="AE36" s="1382"/>
      <c r="AF36" s="1648"/>
      <c r="AG36" s="638"/>
      <c r="AH36" s="638"/>
      <c r="AI36" s="638"/>
      <c r="AJ36" s="638"/>
      <c r="AK36" s="1657">
        <v>11</v>
      </c>
    </row>
    <row s="1657" customFormat="1" customHeight="1" ht="11.549999999999999">
      <c r="A37" s="1003"/>
      <c r="B37" s="1003"/>
      <c r="C37" s="1003"/>
      <c r="D37" s="1003"/>
      <c r="E37" s="1003"/>
      <c r="F37" s="1652"/>
      <c r="G37" s="1652"/>
      <c r="H37" s="367"/>
      <c r="L37" s="638"/>
      <c r="M37" s="638"/>
      <c r="N37" s="1382"/>
      <c r="P37" s="1382"/>
      <c r="Q37" s="1652"/>
      <c r="R37" s="1652"/>
      <c r="S37" s="1382"/>
      <c r="T37" s="1382"/>
      <c r="U37" s="1382"/>
      <c r="V37" s="1382"/>
      <c r="W37" s="1652"/>
      <c r="X37" s="1382"/>
      <c r="Y37" s="1382"/>
      <c r="Z37" s="560"/>
      <c r="AA37" s="1382"/>
      <c r="AB37" s="1382"/>
      <c r="AC37" s="1382"/>
      <c r="AD37" s="1382"/>
      <c r="AE37" s="1382"/>
      <c r="AF37" s="1648"/>
      <c r="AG37" s="638"/>
      <c r="AH37" s="638"/>
      <c r="AI37" s="638"/>
      <c r="AJ37" s="638"/>
      <c r="AK37" s="1657">
        <v>11</v>
      </c>
    </row>
    <row s="1657" customFormat="1" customHeight="1" ht="11.549999999999999">
      <c r="A38" s="1003"/>
      <c r="B38" s="1003"/>
      <c r="C38" s="1003"/>
      <c r="D38" s="1003"/>
      <c r="E38" s="1003"/>
      <c r="F38" s="1652"/>
      <c r="G38" s="1652"/>
      <c r="H38" s="367"/>
      <c r="N38" s="1382"/>
      <c r="P38" s="1382"/>
      <c r="Q38" s="1652"/>
      <c r="R38" s="1652"/>
      <c r="S38" s="1382"/>
      <c r="T38" s="1382"/>
      <c r="U38" s="1382"/>
      <c r="V38" s="1382"/>
      <c r="W38" s="1652"/>
      <c r="X38" s="1382"/>
      <c r="Y38" s="1382"/>
      <c r="Z38" s="560"/>
      <c r="AA38" s="1382"/>
      <c r="AB38" s="1382"/>
      <c r="AC38" s="1382"/>
      <c r="AD38" s="1382"/>
      <c r="AE38" s="1382"/>
      <c r="AF38" s="1648"/>
      <c r="AG38" s="638"/>
      <c r="AH38" s="638"/>
      <c r="AI38" s="638"/>
      <c r="AJ38" s="638"/>
      <c r="AK38" s="1657">
        <v>11</v>
      </c>
    </row>
    <row s="1657" customFormat="1" customHeight="1" ht="11.549999999999999">
      <c r="A39" s="1003"/>
      <c r="B39" s="1003"/>
      <c r="C39" s="1003"/>
      <c r="D39" s="1003"/>
      <c r="E39" s="1003"/>
      <c r="F39" s="1652"/>
      <c r="G39" s="1652"/>
      <c r="H39" s="367"/>
      <c r="N39" s="1382"/>
      <c r="P39" s="1382"/>
      <c r="Q39" s="1652"/>
      <c r="R39" s="1652"/>
      <c r="S39" s="1382"/>
      <c r="T39" s="1382"/>
      <c r="U39" s="1382"/>
      <c r="V39" s="1382"/>
      <c r="W39" s="1652"/>
      <c r="X39" s="1382"/>
      <c r="Y39" s="1382"/>
      <c r="Z39" s="560"/>
      <c r="AA39" s="1382"/>
      <c r="AB39" s="1382"/>
      <c r="AC39" s="1382"/>
      <c r="AD39" s="1382"/>
      <c r="AE39" s="1382"/>
      <c r="AF39" s="1648"/>
      <c r="AG39" s="638"/>
      <c r="AH39" s="638"/>
      <c r="AI39" s="638"/>
      <c r="AJ39" s="638"/>
      <c r="AK39" s="1657">
        <v>11</v>
      </c>
    </row>
    <row s="1657" customFormat="1" customHeight="1" ht="11.549999999999999">
      <c r="A40" s="1003"/>
      <c r="B40" s="1003"/>
      <c r="C40" s="1003"/>
      <c r="D40" s="1003"/>
      <c r="E40" s="1003"/>
      <c r="F40" s="1652"/>
      <c r="G40" s="1652"/>
      <c r="H40" s="367"/>
      <c r="N40" s="1382"/>
      <c r="P40" s="1382"/>
      <c r="Q40" s="1652"/>
      <c r="R40" s="1652"/>
      <c r="S40" s="1382"/>
      <c r="T40" s="1382"/>
      <c r="U40" s="1382"/>
      <c r="V40" s="1382"/>
      <c r="W40" s="1652"/>
      <c r="X40" s="1382"/>
      <c r="Y40" s="1382"/>
      <c r="Z40" s="560"/>
      <c r="AA40" s="1382"/>
      <c r="AB40" s="1382"/>
      <c r="AC40" s="1382"/>
      <c r="AD40" s="1382"/>
      <c r="AE40" s="1382"/>
      <c r="AF40" s="1648"/>
      <c r="AG40" s="638"/>
      <c r="AH40" s="638"/>
      <c r="AI40" s="638"/>
      <c r="AJ40" s="638"/>
      <c r="AK40" s="1657">
        <v>11</v>
      </c>
    </row>
    <row s="1657" customFormat="1" customHeight="1" ht="11.549999999999999">
      <c r="A41" s="1003"/>
      <c r="B41" s="1003"/>
      <c r="C41" s="1003"/>
      <c r="D41" s="1003"/>
      <c r="E41" s="1003"/>
      <c r="F41" s="1652"/>
      <c r="G41" s="1652"/>
      <c r="H41" s="367"/>
      <c r="N41" s="1382"/>
      <c r="P41" s="1382"/>
      <c r="Q41" s="1652"/>
      <c r="R41" s="1652"/>
      <c r="S41" s="1382"/>
      <c r="T41" s="1382"/>
      <c r="U41" s="1382"/>
      <c r="V41" s="1382"/>
      <c r="W41" s="1652"/>
      <c r="X41" s="1382"/>
      <c r="Y41" s="1382"/>
      <c r="Z41" s="560"/>
      <c r="AA41" s="1382"/>
      <c r="AB41" s="1382"/>
      <c r="AC41" s="1382"/>
      <c r="AD41" s="1382"/>
      <c r="AE41" s="1382"/>
      <c r="AF41" s="1648"/>
      <c r="AG41" s="638"/>
      <c r="AH41" s="638"/>
      <c r="AI41" s="638"/>
      <c r="AJ41" s="638"/>
      <c r="AK41" s="1657">
        <v>11</v>
      </c>
    </row>
    <row s="1657" customFormat="1" customHeight="1" ht="11.549999999999999">
      <c r="A42" s="1003"/>
      <c r="B42" s="1003"/>
      <c r="C42" s="1003"/>
      <c r="D42" s="1003"/>
      <c r="E42" s="1003"/>
      <c r="F42" s="1652"/>
      <c r="G42" s="1652"/>
      <c r="H42" s="367"/>
      <c r="N42" s="1382"/>
      <c r="P42" s="1382"/>
      <c r="Q42" s="1652"/>
      <c r="R42" s="1652"/>
      <c r="S42" s="1382"/>
      <c r="T42" s="1382"/>
      <c r="U42" s="1382"/>
      <c r="V42" s="1382"/>
      <c r="W42" s="1652"/>
      <c r="X42" s="1382"/>
      <c r="Y42" s="1382"/>
      <c r="Z42" s="560"/>
      <c r="AA42" s="1382"/>
      <c r="AB42" s="1382"/>
      <c r="AC42" s="1382"/>
      <c r="AD42" s="1382"/>
      <c r="AE42" s="1382"/>
      <c r="AF42" s="1648"/>
      <c r="AG42" s="638"/>
      <c r="AH42" s="638"/>
      <c r="AI42" s="638"/>
      <c r="AJ42" s="638"/>
      <c r="AK42" s="1657">
        <v>11</v>
      </c>
    </row>
    <row s="1657" customFormat="1" customHeight="1" ht="11.549999999999999">
      <c r="A43" s="1003"/>
      <c r="B43" s="1003"/>
      <c r="C43" s="1003"/>
      <c r="D43" s="1003"/>
      <c r="E43" s="1003"/>
      <c r="F43" s="1652"/>
      <c r="G43" s="1652"/>
      <c r="H43" s="367"/>
      <c r="N43" s="1382"/>
      <c r="P43" s="1382"/>
      <c r="Q43" s="1652"/>
      <c r="R43" s="1652"/>
      <c r="S43" s="1382"/>
      <c r="T43" s="1382"/>
      <c r="U43" s="1382"/>
      <c r="V43" s="1382"/>
      <c r="W43" s="1652"/>
      <c r="X43" s="1382"/>
      <c r="Y43" s="1382"/>
      <c r="Z43" s="560"/>
      <c r="AA43" s="1382"/>
      <c r="AB43" s="1382"/>
      <c r="AC43" s="1382"/>
      <c r="AD43" s="1382"/>
      <c r="AE43" s="1382"/>
      <c r="AF43" s="1648"/>
      <c r="AG43" s="638"/>
      <c r="AH43" s="638"/>
      <c r="AI43" s="638"/>
      <c r="AJ43" s="638"/>
      <c r="AK43" s="1657">
        <v>11</v>
      </c>
    </row>
    <row s="1657" customFormat="1" customHeight="1" ht="11.549999999999999">
      <c r="A44" s="1003"/>
      <c r="B44" s="1003"/>
      <c r="C44" s="1003"/>
      <c r="D44" s="1003"/>
      <c r="E44" s="1003"/>
      <c r="F44" s="1652"/>
      <c r="G44" s="1652"/>
      <c r="H44" s="367"/>
      <c r="N44" s="1382"/>
      <c r="P44" s="1382"/>
      <c r="Q44" s="1652"/>
      <c r="R44" s="1652"/>
      <c r="S44" s="1382"/>
      <c r="T44" s="1382"/>
      <c r="U44" s="1382"/>
      <c r="V44" s="1382"/>
      <c r="W44" s="1652"/>
      <c r="X44" s="1382"/>
      <c r="Y44" s="1382"/>
      <c r="Z44" s="560"/>
      <c r="AA44" s="1382"/>
      <c r="AB44" s="1382"/>
      <c r="AC44" s="1382"/>
      <c r="AD44" s="1382"/>
      <c r="AE44" s="1382"/>
      <c r="AF44" s="1648"/>
      <c r="AG44" s="638"/>
      <c r="AH44" s="638"/>
      <c r="AI44" s="638"/>
      <c r="AJ44" s="638"/>
      <c r="AK44" s="1657">
        <v>11</v>
      </c>
    </row>
    <row s="1657" customFormat="1" customHeight="1" ht="11.549999999999999">
      <c r="A45" s="1003"/>
      <c r="B45" s="1003"/>
      <c r="C45" s="1003"/>
      <c r="D45" s="1003"/>
      <c r="E45" s="1003"/>
      <c r="F45" s="1652"/>
      <c r="G45" s="1652"/>
      <c r="H45" s="367"/>
      <c r="N45" s="1382"/>
      <c r="P45" s="1382"/>
      <c r="Q45" s="1652"/>
      <c r="R45" s="1652"/>
      <c r="S45" s="1382"/>
      <c r="T45" s="1382"/>
      <c r="U45" s="1382"/>
      <c r="V45" s="1382"/>
      <c r="W45" s="1652"/>
      <c r="X45" s="1382"/>
      <c r="Y45" s="1382"/>
      <c r="Z45" s="560"/>
      <c r="AA45" s="1382"/>
      <c r="AB45" s="1382"/>
      <c r="AC45" s="1382"/>
      <c r="AD45" s="1382"/>
      <c r="AE45" s="1382"/>
      <c r="AF45" s="1648"/>
      <c r="AG45" s="638"/>
      <c r="AH45" s="638"/>
      <c r="AI45" s="638"/>
      <c r="AJ45" s="638"/>
      <c r="AK45" s="1657">
        <v>11</v>
      </c>
    </row>
    <row s="1657" customFormat="1" customHeight="1" ht="11.549999999999999">
      <c r="A46" s="1003"/>
      <c r="B46" s="1003"/>
      <c r="C46" s="1003"/>
      <c r="D46" s="1003"/>
      <c r="E46" s="1003"/>
      <c r="F46" s="1652"/>
      <c r="G46" s="1652"/>
      <c r="H46" s="367"/>
      <c r="N46" s="1382"/>
      <c r="P46" s="1382"/>
      <c r="Q46" s="1652"/>
      <c r="R46" s="1652"/>
      <c r="S46" s="1382"/>
      <c r="T46" s="1382"/>
      <c r="U46" s="1382"/>
      <c r="V46" s="1382"/>
      <c r="W46" s="1652"/>
      <c r="X46" s="1382"/>
      <c r="Y46" s="1382"/>
      <c r="Z46" s="560"/>
      <c r="AA46" s="1382"/>
      <c r="AB46" s="1382"/>
      <c r="AC46" s="1382"/>
      <c r="AD46" s="1382"/>
      <c r="AE46" s="1382"/>
      <c r="AF46" s="1648"/>
      <c r="AG46" s="638"/>
      <c r="AH46" s="638"/>
      <c r="AI46" s="638"/>
      <c r="AJ46" s="638"/>
      <c r="AK46" s="1657">
        <v>11</v>
      </c>
    </row>
    <row s="1657" customFormat="1" customHeight="1" ht="11.549999999999999">
      <c r="A47" s="1003"/>
      <c r="B47" s="1003"/>
      <c r="C47" s="1003"/>
      <c r="D47" s="1003"/>
      <c r="E47" s="1003"/>
      <c r="F47" s="1652"/>
      <c r="G47" s="1652"/>
      <c r="H47" s="367"/>
      <c r="N47" s="1382"/>
      <c r="P47" s="1382"/>
      <c r="Q47" s="1652"/>
      <c r="R47" s="1652"/>
      <c r="S47" s="1382"/>
      <c r="T47" s="1382"/>
      <c r="U47" s="1382"/>
      <c r="V47" s="1382"/>
      <c r="W47" s="1652"/>
      <c r="X47" s="1382"/>
      <c r="Y47" s="1382"/>
      <c r="Z47" s="560"/>
      <c r="AA47" s="1382"/>
      <c r="AB47" s="1382"/>
      <c r="AC47" s="1382"/>
      <c r="AD47" s="1382"/>
      <c r="AE47" s="1382"/>
      <c r="AF47" s="1648"/>
      <c r="AG47" s="638"/>
      <c r="AH47" s="638"/>
      <c r="AI47" s="638"/>
      <c r="AJ47" s="638"/>
      <c r="AK47" s="1657">
        <v>11</v>
      </c>
    </row>
    <row s="1657" customFormat="1" customHeight="1" ht="11.549999999999999">
      <c r="A48" s="1003"/>
      <c r="B48" s="1003"/>
      <c r="C48" s="1003"/>
      <c r="D48" s="1003"/>
      <c r="E48" s="1003"/>
      <c r="F48" s="1652"/>
      <c r="G48" s="1652"/>
      <c r="H48" s="367"/>
      <c r="N48" s="1382"/>
      <c r="P48" s="1382"/>
      <c r="Q48" s="1652"/>
      <c r="R48" s="1652"/>
      <c r="S48" s="1382"/>
      <c r="T48" s="1382"/>
      <c r="U48" s="1382"/>
      <c r="V48" s="1382"/>
      <c r="W48" s="1652"/>
      <c r="X48" s="1382"/>
      <c r="Y48" s="1382"/>
      <c r="Z48" s="560"/>
      <c r="AA48" s="1382"/>
      <c r="AB48" s="1382"/>
      <c r="AC48" s="1382"/>
      <c r="AD48" s="1382"/>
      <c r="AE48" s="1382"/>
      <c r="AF48" s="1648"/>
      <c r="AG48" s="638"/>
      <c r="AH48" s="638"/>
      <c r="AI48" s="638"/>
      <c r="AJ48" s="638"/>
      <c r="AK48" s="1657">
        <v>11</v>
      </c>
    </row>
    <row s="1657" customFormat="1" customHeight="1" ht="11.549999999999999">
      <c r="A49" s="1003"/>
      <c r="B49" s="1003"/>
      <c r="C49" s="1003"/>
      <c r="D49" s="1003"/>
      <c r="E49" s="1003"/>
      <c r="F49" s="1652"/>
      <c r="G49" s="1652"/>
      <c r="H49" s="367"/>
      <c r="N49" s="1382"/>
      <c r="P49" s="1382"/>
      <c r="Q49" s="1652"/>
      <c r="R49" s="1652"/>
      <c r="S49" s="1382"/>
      <c r="T49" s="1382"/>
      <c r="U49" s="1382"/>
      <c r="V49" s="1382"/>
      <c r="W49" s="1652"/>
      <c r="X49" s="1382"/>
      <c r="Y49" s="1382"/>
      <c r="Z49" s="560"/>
      <c r="AA49" s="1382"/>
      <c r="AB49" s="1382"/>
      <c r="AC49" s="1382"/>
      <c r="AD49" s="1382"/>
      <c r="AE49" s="1382"/>
      <c r="AF49" s="1648"/>
      <c r="AG49" s="638"/>
      <c r="AH49" s="638"/>
      <c r="AI49" s="638"/>
      <c r="AJ49" s="638"/>
      <c r="AK49" s="1657">
        <v>11</v>
      </c>
    </row>
    <row s="1657" customFormat="1" customHeight="1" ht="11.549999999999999">
      <c r="A50" s="1003"/>
      <c r="B50" s="1003"/>
      <c r="C50" s="1003"/>
      <c r="D50" s="1003"/>
      <c r="E50" s="1003"/>
      <c r="F50" s="1652"/>
      <c r="G50" s="1652"/>
      <c r="H50" s="367"/>
      <c r="N50" s="1382"/>
      <c r="P50" s="1382"/>
      <c r="Q50" s="1652"/>
      <c r="R50" s="1652"/>
      <c r="S50" s="1382"/>
      <c r="T50" s="1382"/>
      <c r="U50" s="1382"/>
      <c r="V50" s="1382"/>
      <c r="W50" s="1652"/>
      <c r="X50" s="1382"/>
      <c r="Y50" s="1382"/>
      <c r="Z50" s="560"/>
      <c r="AA50" s="1382"/>
      <c r="AB50" s="1382"/>
      <c r="AC50" s="1382"/>
      <c r="AD50" s="1382"/>
      <c r="AE50" s="1382"/>
      <c r="AF50" s="1648"/>
      <c r="AG50" s="638"/>
      <c r="AH50" s="638"/>
      <c r="AI50" s="638"/>
      <c r="AJ50" s="638"/>
      <c r="AK50" s="1657">
        <v>11</v>
      </c>
    </row>
    <row s="1657" customFormat="1" customHeight="1" ht="11.549999999999999">
      <c r="A51" s="1003"/>
      <c r="B51" s="1003"/>
      <c r="C51" s="1003"/>
      <c r="D51" s="1003"/>
      <c r="E51" s="1003"/>
      <c r="F51" s="1652"/>
      <c r="G51" s="1652"/>
      <c r="H51" s="367"/>
      <c r="N51" s="1382"/>
      <c r="P51" s="1382"/>
      <c r="Q51" s="1652"/>
      <c r="R51" s="1652"/>
      <c r="S51" s="1382"/>
      <c r="T51" s="1382"/>
      <c r="U51" s="1382"/>
      <c r="V51" s="1382"/>
      <c r="W51" s="1652"/>
      <c r="X51" s="1382"/>
      <c r="Y51" s="1382"/>
      <c r="Z51" s="560"/>
      <c r="AA51" s="1382"/>
      <c r="AB51" s="1382"/>
      <c r="AC51" s="1382"/>
      <c r="AD51" s="1382"/>
      <c r="AE51" s="1382"/>
      <c r="AF51" s="1648"/>
      <c r="AG51" s="638"/>
      <c r="AH51" s="638"/>
      <c r="AI51" s="638"/>
      <c r="AJ51" s="638"/>
      <c r="AK51" s="1657">
        <v>11</v>
      </c>
    </row>
    <row s="1657" customFormat="1" customHeight="1" ht="11.549999999999999">
      <c r="A52" s="1003"/>
      <c r="B52" s="1003"/>
      <c r="C52" s="1003"/>
      <c r="D52" s="1003"/>
      <c r="E52" s="1003"/>
      <c r="F52" s="1652"/>
      <c r="G52" s="1652"/>
      <c r="H52" s="367"/>
      <c r="N52" s="1382"/>
      <c r="P52" s="1382"/>
      <c r="Q52" s="1652"/>
      <c r="R52" s="1652"/>
      <c r="S52" s="1382"/>
      <c r="T52" s="1382"/>
      <c r="U52" s="1382"/>
      <c r="V52" s="1382"/>
      <c r="W52" s="1652"/>
      <c r="X52" s="1382"/>
      <c r="Y52" s="1382"/>
      <c r="Z52" s="560"/>
      <c r="AA52" s="1382"/>
      <c r="AB52" s="1382"/>
      <c r="AC52" s="1382"/>
      <c r="AD52" s="1382"/>
      <c r="AE52" s="1382"/>
      <c r="AF52" s="1648"/>
      <c r="AG52" s="638"/>
      <c r="AH52" s="638"/>
      <c r="AI52" s="638"/>
      <c r="AJ52" s="638"/>
      <c r="AK52" s="1657">
        <v>11</v>
      </c>
    </row>
    <row s="1657" customFormat="1" customHeight="1" ht="11.549999999999999">
      <c r="A53" s="1003"/>
      <c r="B53" s="1003"/>
      <c r="C53" s="1003"/>
      <c r="D53" s="1003"/>
      <c r="E53" s="1003"/>
      <c r="F53" s="1652"/>
      <c r="G53" s="1652"/>
      <c r="H53" s="367"/>
      <c r="N53" s="1382"/>
      <c r="P53" s="1382"/>
      <c r="Q53" s="1652"/>
      <c r="R53" s="1652"/>
      <c r="S53" s="1382"/>
      <c r="T53" s="1382"/>
      <c r="U53" s="1382"/>
      <c r="V53" s="1382"/>
      <c r="W53" s="1652"/>
      <c r="X53" s="1382"/>
      <c r="Y53" s="1382"/>
      <c r="Z53" s="560"/>
      <c r="AA53" s="1382"/>
      <c r="AB53" s="1382"/>
      <c r="AC53" s="1382"/>
      <c r="AD53" s="1382"/>
      <c r="AE53" s="1382"/>
      <c r="AF53" s="1648"/>
      <c r="AG53" s="638"/>
      <c r="AH53" s="638"/>
      <c r="AI53" s="638"/>
      <c r="AJ53" s="638"/>
      <c r="AK53" s="1657">
        <v>11</v>
      </c>
    </row>
    <row s="1657" customFormat="1" customHeight="1" ht="11.549999999999999">
      <c r="A54" s="1003"/>
      <c r="B54" s="1003"/>
      <c r="C54" s="1003"/>
      <c r="D54" s="1003"/>
      <c r="E54" s="1003"/>
      <c r="F54" s="1652"/>
      <c r="G54" s="1652"/>
      <c r="H54" s="367"/>
      <c r="N54" s="1382"/>
      <c r="P54" s="1382"/>
      <c r="Q54" s="1652"/>
      <c r="R54" s="1652"/>
      <c r="S54" s="1382"/>
      <c r="T54" s="1382"/>
      <c r="U54" s="1382"/>
      <c r="V54" s="1382"/>
      <c r="W54" s="1652"/>
      <c r="X54" s="1382"/>
      <c r="Y54" s="1382"/>
      <c r="Z54" s="560"/>
      <c r="AA54" s="1382"/>
      <c r="AB54" s="1382"/>
      <c r="AC54" s="1382"/>
      <c r="AD54" s="1382"/>
      <c r="AE54" s="1382"/>
      <c r="AF54" s="1648"/>
      <c r="AG54" s="638"/>
      <c r="AH54" s="638"/>
      <c r="AI54" s="638"/>
      <c r="AJ54" s="638"/>
      <c r="AK54" s="1657">
        <v>11</v>
      </c>
    </row>
    <row s="1657" customFormat="1" customHeight="1" ht="11.549999999999999">
      <c r="A55" s="1003"/>
      <c r="B55" s="1003"/>
      <c r="C55" s="1003"/>
      <c r="D55" s="1003"/>
      <c r="E55" s="1003"/>
      <c r="F55" s="1652"/>
      <c r="G55" s="1652"/>
      <c r="H55" s="367"/>
      <c r="N55" s="1382"/>
      <c r="P55" s="1382"/>
      <c r="Q55" s="1652"/>
      <c r="R55" s="1652"/>
      <c r="S55" s="1382"/>
      <c r="T55" s="1382"/>
      <c r="U55" s="1382"/>
      <c r="V55" s="1382"/>
      <c r="W55" s="1652"/>
      <c r="X55" s="1382"/>
      <c r="Y55" s="1382"/>
      <c r="Z55" s="560"/>
      <c r="AA55" s="1382"/>
      <c r="AB55" s="1382"/>
      <c r="AC55" s="1382"/>
      <c r="AD55" s="1382"/>
      <c r="AE55" s="1382"/>
      <c r="AF55" s="1648"/>
      <c r="AG55" s="638"/>
      <c r="AH55" s="638"/>
      <c r="AI55" s="638"/>
      <c r="AJ55" s="638"/>
      <c r="AK55" s="1657">
        <v>11</v>
      </c>
    </row>
    <row s="1657" customFormat="1" customHeight="1" ht="11.549999999999999">
      <c r="A56" s="1003"/>
      <c r="B56" s="1003"/>
      <c r="C56" s="1003"/>
      <c r="D56" s="1003"/>
      <c r="E56" s="1003"/>
      <c r="F56" s="1652"/>
      <c r="G56" s="1652"/>
      <c r="H56" s="367"/>
      <c r="N56" s="1382"/>
      <c r="P56" s="1382"/>
      <c r="Q56" s="1652"/>
      <c r="R56" s="1652"/>
      <c r="S56" s="1382"/>
      <c r="T56" s="1382"/>
      <c r="U56" s="1382"/>
      <c r="V56" s="1382"/>
      <c r="W56" s="1652"/>
      <c r="X56" s="1382"/>
      <c r="Y56" s="1382"/>
      <c r="Z56" s="560"/>
      <c r="AA56" s="1382"/>
      <c r="AB56" s="1382"/>
      <c r="AC56" s="1382"/>
      <c r="AD56" s="1382"/>
      <c r="AE56" s="1382"/>
      <c r="AF56" s="1648"/>
      <c r="AG56" s="638"/>
      <c r="AH56" s="638"/>
      <c r="AI56" s="638"/>
      <c r="AJ56" s="638"/>
      <c r="AK56" s="1657">
        <v>11</v>
      </c>
    </row>
    <row s="1657" customFormat="1" customHeight="1" ht="11.549999999999999">
      <c r="A57" s="1003"/>
      <c r="B57" s="1003"/>
      <c r="C57" s="1003"/>
      <c r="D57" s="1003"/>
      <c r="E57" s="1003"/>
      <c r="F57" s="1652"/>
      <c r="G57" s="1652"/>
      <c r="H57" s="367"/>
      <c r="N57" s="1382"/>
      <c r="P57" s="1382"/>
      <c r="Q57" s="1652"/>
      <c r="R57" s="1652"/>
      <c r="S57" s="1382"/>
      <c r="T57" s="1382"/>
      <c r="U57" s="1382"/>
      <c r="V57" s="1382"/>
      <c r="W57" s="1652"/>
      <c r="X57" s="1382"/>
      <c r="Y57" s="1382"/>
      <c r="Z57" s="560"/>
      <c r="AA57" s="1382"/>
      <c r="AB57" s="1382"/>
      <c r="AC57" s="1382"/>
      <c r="AD57" s="1382"/>
      <c r="AE57" s="1382"/>
      <c r="AF57" s="1648"/>
      <c r="AG57" s="638"/>
      <c r="AH57" s="638"/>
      <c r="AI57" s="638"/>
      <c r="AJ57" s="638"/>
      <c r="AK57" s="1657">
        <v>11</v>
      </c>
    </row>
    <row s="1657" customFormat="1" customHeight="1" ht="11.549999999999999">
      <c r="A58" s="1003"/>
      <c r="B58" s="1003"/>
      <c r="C58" s="1003"/>
      <c r="D58" s="1003"/>
      <c r="E58" s="1003"/>
      <c r="F58" s="1652"/>
      <c r="G58" s="1652"/>
      <c r="H58" s="367"/>
      <c r="N58" s="1382"/>
      <c r="P58" s="1382"/>
      <c r="Q58" s="1652"/>
      <c r="R58" s="1652"/>
      <c r="S58" s="1382"/>
      <c r="T58" s="1382"/>
      <c r="U58" s="1382"/>
      <c r="V58" s="1382"/>
      <c r="W58" s="1652"/>
      <c r="X58" s="1382"/>
      <c r="Y58" s="1382"/>
      <c r="Z58" s="560"/>
      <c r="AA58" s="1382"/>
      <c r="AB58" s="1382"/>
      <c r="AC58" s="1382"/>
      <c r="AD58" s="1382"/>
      <c r="AE58" s="1382"/>
      <c r="AF58" s="1648"/>
      <c r="AG58" s="638"/>
      <c r="AH58" s="638"/>
      <c r="AI58" s="638"/>
      <c r="AJ58" s="638"/>
      <c r="AK58" s="1657">
        <v>11</v>
      </c>
    </row>
    <row s="1657" customFormat="1" customHeight="1" ht="11.549999999999999">
      <c r="A59" s="1003"/>
      <c r="B59" s="1003"/>
      <c r="C59" s="1003"/>
      <c r="D59" s="1003"/>
      <c r="E59" s="1003"/>
      <c r="F59" s="1652"/>
      <c r="G59" s="1652"/>
      <c r="H59" s="367"/>
      <c r="N59" s="1382"/>
      <c r="P59" s="1382"/>
      <c r="Q59" s="1652"/>
      <c r="R59" s="1652"/>
      <c r="S59" s="1382"/>
      <c r="T59" s="1382"/>
      <c r="U59" s="1382"/>
      <c r="V59" s="1382"/>
      <c r="W59" s="1652"/>
      <c r="X59" s="1382"/>
      <c r="Y59" s="1382"/>
      <c r="Z59" s="560"/>
      <c r="AA59" s="1382"/>
      <c r="AB59" s="1382"/>
      <c r="AC59" s="1382"/>
      <c r="AD59" s="1382"/>
      <c r="AE59" s="1382"/>
      <c r="AF59" s="1648"/>
      <c r="AG59" s="638"/>
      <c r="AH59" s="638"/>
      <c r="AI59" s="638"/>
      <c r="AJ59" s="638"/>
      <c r="AK59" s="1657">
        <v>11</v>
      </c>
    </row>
    <row s="1657" customFormat="1" customHeight="1" ht="11.549999999999999">
      <c r="A60" s="1003"/>
      <c r="B60" s="1003"/>
      <c r="C60" s="1003"/>
      <c r="D60" s="1003"/>
      <c r="E60" s="1003"/>
      <c r="F60" s="1652"/>
      <c r="G60" s="1652"/>
      <c r="H60" s="367"/>
      <c r="N60" s="1382"/>
      <c r="P60" s="1382"/>
      <c r="Q60" s="1652"/>
      <c r="R60" s="1652"/>
      <c r="S60" s="1382"/>
      <c r="T60" s="1382"/>
      <c r="U60" s="1382"/>
      <c r="V60" s="1382"/>
      <c r="W60" s="1652"/>
      <c r="X60" s="1382"/>
      <c r="Y60" s="1382"/>
      <c r="Z60" s="560"/>
      <c r="AA60" s="1382"/>
      <c r="AB60" s="1382"/>
      <c r="AC60" s="1382"/>
      <c r="AD60" s="1382"/>
      <c r="AE60" s="1382"/>
      <c r="AF60" s="1648"/>
      <c r="AG60" s="638"/>
      <c r="AH60" s="638"/>
      <c r="AI60" s="638"/>
      <c r="AJ60" s="638"/>
      <c r="AK60" s="1657">
        <v>11</v>
      </c>
    </row>
    <row s="1657" customFormat="1" customHeight="1" ht="11.549999999999999">
      <c r="A61" s="1003"/>
      <c r="B61" s="1003"/>
      <c r="C61" s="1003"/>
      <c r="D61" s="1003"/>
      <c r="E61" s="1003"/>
      <c r="F61" s="1652"/>
      <c r="G61" s="1652"/>
      <c r="H61" s="367"/>
      <c r="N61" s="1382"/>
      <c r="P61" s="1382"/>
      <c r="Q61" s="1652"/>
      <c r="R61" s="1652"/>
      <c r="S61" s="1382"/>
      <c r="T61" s="1382"/>
      <c r="U61" s="1382"/>
      <c r="V61" s="1382"/>
      <c r="W61" s="1652"/>
      <c r="X61" s="1382"/>
      <c r="Y61" s="1382"/>
      <c r="Z61" s="560"/>
      <c r="AA61" s="1382"/>
      <c r="AB61" s="1382"/>
      <c r="AC61" s="1382"/>
      <c r="AD61" s="1382"/>
      <c r="AE61" s="1382"/>
      <c r="AF61" s="1648"/>
      <c r="AG61" s="638"/>
      <c r="AH61" s="638"/>
      <c r="AI61" s="638"/>
      <c r="AJ61" s="638"/>
      <c r="AK61" s="1657">
        <v>11</v>
      </c>
    </row>
    <row s="1657" customFormat="1" customHeight="1" ht="11.549999999999999">
      <c r="A62" s="1003"/>
      <c r="B62" s="1003"/>
      <c r="C62" s="1003"/>
      <c r="D62" s="1003"/>
      <c r="E62" s="1003"/>
      <c r="F62" s="1652"/>
      <c r="G62" s="1652"/>
      <c r="H62" s="367"/>
      <c r="N62" s="1382"/>
      <c r="P62" s="1382"/>
      <c r="Q62" s="1652"/>
      <c r="R62" s="1652"/>
      <c r="S62" s="1382"/>
      <c r="T62" s="1382"/>
      <c r="U62" s="1382"/>
      <c r="V62" s="1382"/>
      <c r="W62" s="1652"/>
      <c r="X62" s="1382"/>
      <c r="Y62" s="1382"/>
      <c r="Z62" s="560"/>
      <c r="AA62" s="1382"/>
      <c r="AB62" s="1382"/>
      <c r="AC62" s="1382"/>
      <c r="AD62" s="1382"/>
      <c r="AE62" s="1382"/>
      <c r="AF62" s="1648"/>
      <c r="AG62" s="638"/>
      <c r="AH62" s="638"/>
      <c r="AI62" s="638"/>
      <c r="AJ62" s="638"/>
      <c r="AK62" s="1657">
        <v>11</v>
      </c>
    </row>
    <row s="1657" customFormat="1" customHeight="1" ht="11.549999999999999">
      <c r="A63" s="1003"/>
      <c r="B63" s="1003"/>
      <c r="C63" s="1003"/>
      <c r="D63" s="1003"/>
      <c r="E63" s="1003"/>
      <c r="F63" s="1652"/>
      <c r="G63" s="1652"/>
      <c r="H63" s="367"/>
      <c r="N63" s="1382"/>
      <c r="P63" s="1382"/>
      <c r="Q63" s="1652"/>
      <c r="R63" s="1652"/>
      <c r="S63" s="1382"/>
      <c r="T63" s="1382"/>
      <c r="U63" s="1382"/>
      <c r="V63" s="1382"/>
      <c r="W63" s="1652"/>
      <c r="X63" s="1382"/>
      <c r="Y63" s="1382"/>
      <c r="Z63" s="560"/>
      <c r="AA63" s="1382"/>
      <c r="AB63" s="1382"/>
      <c r="AC63" s="1382"/>
      <c r="AD63" s="1382"/>
      <c r="AE63" s="1382"/>
      <c r="AF63" s="1648"/>
      <c r="AG63" s="638"/>
      <c r="AH63" s="638"/>
      <c r="AI63" s="638"/>
      <c r="AJ63" s="638"/>
      <c r="AK63" s="1657">
        <v>11</v>
      </c>
    </row>
    <row s="1657" customFormat="1" customHeight="1" ht="11.549999999999999">
      <c r="A64" s="1003"/>
      <c r="B64" s="1003"/>
      <c r="C64" s="1003"/>
      <c r="D64" s="1003"/>
      <c r="E64" s="1003"/>
      <c r="F64" s="1652"/>
      <c r="G64" s="1652"/>
      <c r="H64" s="367"/>
      <c r="N64" s="1382"/>
      <c r="P64" s="1382"/>
      <c r="Q64" s="1652"/>
      <c r="R64" s="1652"/>
      <c r="S64" s="1382"/>
      <c r="T64" s="1382"/>
      <c r="U64" s="1382"/>
      <c r="V64" s="1382"/>
      <c r="W64" s="1652"/>
      <c r="X64" s="1382"/>
      <c r="Y64" s="1382"/>
      <c r="Z64" s="560"/>
      <c r="AA64" s="1382"/>
      <c r="AB64" s="1382"/>
      <c r="AC64" s="1382"/>
      <c r="AD64" s="1382"/>
      <c r="AE64" s="1382"/>
      <c r="AF64" s="1648"/>
      <c r="AG64" s="638"/>
      <c r="AH64" s="638"/>
      <c r="AI64" s="638"/>
      <c r="AJ64" s="638"/>
      <c r="AK64" s="1657">
        <v>11</v>
      </c>
    </row>
    <row s="1657" customFormat="1" customHeight="1" ht="11.549999999999999">
      <c r="A65" s="1003"/>
      <c r="B65" s="1003"/>
      <c r="C65" s="1003"/>
      <c r="D65" s="1003"/>
      <c r="E65" s="1003"/>
      <c r="F65" s="1652"/>
      <c r="G65" s="1652"/>
      <c r="H65" s="367"/>
      <c r="N65" s="1382"/>
      <c r="P65" s="1382"/>
      <c r="Q65" s="1652"/>
      <c r="R65" s="1652"/>
      <c r="S65" s="1382"/>
      <c r="T65" s="1382"/>
      <c r="U65" s="1382"/>
      <c r="V65" s="1382"/>
      <c r="W65" s="1652"/>
      <c r="X65" s="1382"/>
      <c r="Y65" s="1382"/>
      <c r="Z65" s="560"/>
      <c r="AA65" s="1382"/>
      <c r="AB65" s="1382"/>
      <c r="AC65" s="1382"/>
      <c r="AD65" s="1382"/>
      <c r="AE65" s="1382"/>
      <c r="AF65" s="1648"/>
      <c r="AG65" s="638"/>
      <c r="AH65" s="638"/>
      <c r="AI65" s="638"/>
      <c r="AJ65" s="638"/>
      <c r="AK65" s="1657">
        <v>11</v>
      </c>
    </row>
    <row s="1657" customFormat="1" customHeight="1" ht="11.549999999999999">
      <c r="A66" s="1003"/>
      <c r="B66" s="1003"/>
      <c r="C66" s="1003"/>
      <c r="D66" s="1003"/>
      <c r="E66" s="1003"/>
      <c r="F66" s="1652"/>
      <c r="G66" s="1652"/>
      <c r="H66" s="367"/>
      <c r="N66" s="1382"/>
      <c r="P66" s="1382"/>
      <c r="Q66" s="1652"/>
      <c r="R66" s="1652"/>
      <c r="S66" s="1382"/>
      <c r="T66" s="1382"/>
      <c r="U66" s="1382"/>
      <c r="V66" s="1382"/>
      <c r="W66" s="1652"/>
      <c r="X66" s="1382"/>
      <c r="Y66" s="1382"/>
      <c r="Z66" s="560"/>
      <c r="AA66" s="1382"/>
      <c r="AB66" s="1382"/>
      <c r="AC66" s="1382"/>
      <c r="AD66" s="1382"/>
      <c r="AE66" s="1382"/>
      <c r="AF66" s="1648"/>
      <c r="AG66" s="638"/>
      <c r="AH66" s="638"/>
      <c r="AI66" s="638"/>
      <c r="AJ66" s="638"/>
      <c r="AK66" s="1657">
        <v>11</v>
      </c>
    </row>
    <row s="1657" customFormat="1" customHeight="1" ht="11.549999999999999">
      <c r="A67" s="1003"/>
      <c r="B67" s="1003"/>
      <c r="C67" s="1003"/>
      <c r="D67" s="1003"/>
      <c r="E67" s="1003"/>
      <c r="F67" s="1652"/>
      <c r="G67" s="1652"/>
      <c r="H67" s="367"/>
      <c r="N67" s="1382"/>
      <c r="P67" s="1382"/>
      <c r="Q67" s="1652"/>
      <c r="R67" s="1652"/>
      <c r="S67" s="1382"/>
      <c r="T67" s="1382"/>
      <c r="U67" s="1382"/>
      <c r="V67" s="1382"/>
      <c r="W67" s="1652"/>
      <c r="X67" s="1382"/>
      <c r="Y67" s="1382"/>
      <c r="Z67" s="560"/>
      <c r="AA67" s="1382"/>
      <c r="AB67" s="1382"/>
      <c r="AC67" s="1382"/>
      <c r="AD67" s="1382"/>
      <c r="AE67" s="1382"/>
      <c r="AF67" s="1648"/>
      <c r="AG67" s="638"/>
      <c r="AH67" s="638"/>
      <c r="AI67" s="638"/>
      <c r="AJ67" s="638"/>
      <c r="AK67" s="1657">
        <v>11</v>
      </c>
    </row>
    <row s="1657" customFormat="1" customHeight="1" ht="11.549999999999999">
      <c r="A68" s="1003"/>
      <c r="B68" s="1003"/>
      <c r="C68" s="1003"/>
      <c r="D68" s="1003"/>
      <c r="E68" s="1003"/>
      <c r="F68" s="1652"/>
      <c r="G68" s="1652"/>
      <c r="H68" s="367"/>
      <c r="N68" s="1382"/>
      <c r="P68" s="1382"/>
      <c r="Q68" s="1652"/>
      <c r="R68" s="1652"/>
      <c r="S68" s="1382"/>
      <c r="T68" s="1382"/>
      <c r="U68" s="1382"/>
      <c r="V68" s="1382"/>
      <c r="W68" s="1652"/>
      <c r="X68" s="1382"/>
      <c r="Y68" s="1382"/>
      <c r="Z68" s="560"/>
      <c r="AA68" s="1382"/>
      <c r="AB68" s="1382"/>
      <c r="AC68" s="1382"/>
      <c r="AD68" s="1382"/>
      <c r="AE68" s="1382"/>
      <c r="AF68" s="1648"/>
      <c r="AG68" s="638"/>
      <c r="AH68" s="638"/>
      <c r="AI68" s="638"/>
      <c r="AJ68" s="638"/>
      <c r="AK68" s="1657">
        <v>11</v>
      </c>
    </row>
    <row s="1657" customFormat="1" customHeight="1" ht="11.549999999999999">
      <c r="A69" s="1003"/>
      <c r="B69" s="1003"/>
      <c r="C69" s="1003"/>
      <c r="D69" s="1003"/>
      <c r="E69" s="1003"/>
      <c r="F69" s="1652"/>
      <c r="G69" s="1652"/>
      <c r="H69" s="367"/>
      <c r="N69" s="1382"/>
      <c r="P69" s="1382"/>
      <c r="Q69" s="1652"/>
      <c r="R69" s="1652"/>
      <c r="S69" s="1382"/>
      <c r="T69" s="1382"/>
      <c r="U69" s="1382"/>
      <c r="V69" s="1382"/>
      <c r="W69" s="1652"/>
      <c r="X69" s="1382"/>
      <c r="Y69" s="1382"/>
      <c r="Z69" s="560"/>
      <c r="AA69" s="1382"/>
      <c r="AB69" s="1382"/>
      <c r="AC69" s="1382"/>
      <c r="AD69" s="1382"/>
      <c r="AE69" s="1382"/>
      <c r="AF69" s="1648"/>
      <c r="AG69" s="638"/>
      <c r="AH69" s="638"/>
      <c r="AI69" s="638"/>
      <c r="AJ69" s="638"/>
      <c r="AK69" s="1657">
        <v>11</v>
      </c>
    </row>
    <row s="1657" customFormat="1" customHeight="1" ht="11.549999999999999">
      <c r="A70" s="1003"/>
      <c r="B70" s="1003"/>
      <c r="C70" s="1003"/>
      <c r="D70" s="1003"/>
      <c r="E70" s="1003"/>
      <c r="F70" s="1652"/>
      <c r="G70" s="1652"/>
      <c r="H70" s="367"/>
      <c r="N70" s="1382"/>
      <c r="P70" s="1382"/>
      <c r="Q70" s="1652"/>
      <c r="R70" s="1652"/>
      <c r="S70" s="1382"/>
      <c r="T70" s="1382"/>
      <c r="U70" s="1382"/>
      <c r="V70" s="1382"/>
      <c r="W70" s="1652"/>
      <c r="X70" s="1382"/>
      <c r="Y70" s="1382"/>
      <c r="Z70" s="560"/>
      <c r="AA70" s="1382"/>
      <c r="AB70" s="1382"/>
      <c r="AC70" s="1382"/>
      <c r="AD70" s="1382"/>
      <c r="AE70" s="1382"/>
      <c r="AF70" s="1648"/>
      <c r="AG70" s="638"/>
      <c r="AH70" s="638"/>
      <c r="AI70" s="638"/>
      <c r="AJ70" s="638"/>
      <c r="AK70" s="1657">
        <v>11</v>
      </c>
    </row>
    <row s="1657" customFormat="1" customHeight="1" ht="11.549999999999999">
      <c r="A71" s="1003"/>
      <c r="B71" s="1003"/>
      <c r="C71" s="1003"/>
      <c r="D71" s="1003"/>
      <c r="E71" s="1003"/>
      <c r="F71" s="1652"/>
      <c r="G71" s="1652"/>
      <c r="H71" s="367"/>
      <c r="N71" s="1382"/>
      <c r="P71" s="1382"/>
      <c r="Q71" s="1652"/>
      <c r="R71" s="1652"/>
      <c r="S71" s="1382"/>
      <c r="T71" s="1382"/>
      <c r="U71" s="1382"/>
      <c r="V71" s="1382"/>
      <c r="W71" s="1652"/>
      <c r="X71" s="1382"/>
      <c r="Y71" s="1382"/>
      <c r="Z71" s="560"/>
      <c r="AA71" s="1382"/>
      <c r="AB71" s="1382"/>
      <c r="AC71" s="1382"/>
      <c r="AD71" s="1382"/>
      <c r="AE71" s="1382"/>
      <c r="AF71" s="1648"/>
      <c r="AG71" s="638"/>
      <c r="AH71" s="638"/>
      <c r="AI71" s="638"/>
      <c r="AJ71" s="638"/>
      <c r="AK71" s="1657">
        <v>11</v>
      </c>
    </row>
    <row s="1657" customFormat="1" customHeight="1" ht="11.549999999999999">
      <c r="A72" s="1003"/>
      <c r="B72" s="1003"/>
      <c r="C72" s="1003"/>
      <c r="D72" s="1003"/>
      <c r="E72" s="1003"/>
      <c r="F72" s="1652"/>
      <c r="G72" s="1652"/>
      <c r="H72" s="367"/>
      <c r="N72" s="1382"/>
      <c r="P72" s="1382"/>
      <c r="Q72" s="1652"/>
      <c r="R72" s="1652"/>
      <c r="S72" s="1382"/>
      <c r="T72" s="1382"/>
      <c r="U72" s="1382"/>
      <c r="V72" s="1382"/>
      <c r="W72" s="1652"/>
      <c r="X72" s="1382"/>
      <c r="Y72" s="1382"/>
      <c r="Z72" s="560"/>
      <c r="AA72" s="1382"/>
      <c r="AB72" s="1382"/>
      <c r="AC72" s="1382"/>
      <c r="AD72" s="1382"/>
      <c r="AE72" s="1382"/>
      <c r="AF72" s="1648"/>
      <c r="AG72" s="638"/>
      <c r="AH72" s="638"/>
      <c r="AI72" s="638"/>
      <c r="AJ72" s="638"/>
      <c r="AK72" s="1657">
        <v>11</v>
      </c>
    </row>
    <row s="1657" customFormat="1" customHeight="1" ht="11.549999999999999">
      <c r="A73" s="1003"/>
      <c r="B73" s="1003"/>
      <c r="C73" s="1003"/>
      <c r="D73" s="1003"/>
      <c r="E73" s="1003"/>
      <c r="F73" s="1652"/>
      <c r="G73" s="1652"/>
      <c r="H73" s="367"/>
      <c r="N73" s="1382"/>
      <c r="P73" s="1382"/>
      <c r="Q73" s="1652"/>
      <c r="R73" s="1652"/>
      <c r="S73" s="1382"/>
      <c r="T73" s="1382"/>
      <c r="U73" s="1382"/>
      <c r="V73" s="1382"/>
      <c r="W73" s="1652"/>
      <c r="X73" s="1382"/>
      <c r="Y73" s="1382"/>
      <c r="Z73" s="560"/>
      <c r="AA73" s="1382"/>
      <c r="AB73" s="1382"/>
      <c r="AC73" s="1382"/>
      <c r="AD73" s="1382"/>
      <c r="AE73" s="1382"/>
      <c r="AF73" s="1648"/>
      <c r="AG73" s="638"/>
      <c r="AH73" s="638"/>
      <c r="AI73" s="638"/>
      <c r="AJ73" s="638"/>
      <c r="AK73" s="1657">
        <v>11</v>
      </c>
    </row>
    <row s="1657" customFormat="1" customHeight="1" ht="11.549999999999999">
      <c r="A74" s="1003"/>
      <c r="B74" s="1003"/>
      <c r="C74" s="1003"/>
      <c r="D74" s="1003"/>
      <c r="E74" s="1003"/>
      <c r="F74" s="1652"/>
      <c r="G74" s="1652"/>
      <c r="H74" s="367"/>
      <c r="N74" s="1382"/>
      <c r="P74" s="1382"/>
      <c r="Q74" s="1652"/>
      <c r="R74" s="1652"/>
      <c r="S74" s="1382"/>
      <c r="T74" s="1382"/>
      <c r="U74" s="1382"/>
      <c r="V74" s="1382"/>
      <c r="W74" s="1652"/>
      <c r="X74" s="1382"/>
      <c r="Y74" s="1382"/>
      <c r="Z74" s="560"/>
      <c r="AA74" s="1382"/>
      <c r="AB74" s="1382"/>
      <c r="AC74" s="1382"/>
      <c r="AD74" s="1382"/>
      <c r="AE74" s="1382"/>
      <c r="AF74" s="1648"/>
      <c r="AG74" s="638"/>
      <c r="AH74" s="638"/>
      <c r="AI74" s="638"/>
      <c r="AJ74" s="638"/>
      <c r="AK74" s="1657">
        <v>11</v>
      </c>
    </row>
    <row s="1657" customFormat="1" customHeight="1" ht="11.549999999999999">
      <c r="A75" s="1003"/>
      <c r="B75" s="1003"/>
      <c r="C75" s="1003"/>
      <c r="D75" s="1003"/>
      <c r="E75" s="1003"/>
      <c r="F75" s="1652"/>
      <c r="G75" s="1652"/>
      <c r="H75" s="367"/>
      <c r="N75" s="1382"/>
      <c r="P75" s="1382"/>
      <c r="Q75" s="1652"/>
      <c r="R75" s="1652"/>
      <c r="S75" s="1382"/>
      <c r="T75" s="1382"/>
      <c r="U75" s="1382"/>
      <c r="V75" s="1382"/>
      <c r="W75" s="1652"/>
      <c r="X75" s="1382"/>
      <c r="Y75" s="1382"/>
      <c r="Z75" s="560"/>
      <c r="AA75" s="1382"/>
      <c r="AB75" s="1382"/>
      <c r="AC75" s="1382"/>
      <c r="AD75" s="1382"/>
      <c r="AE75" s="1382"/>
      <c r="AF75" s="1648"/>
      <c r="AG75" s="638"/>
      <c r="AH75" s="638"/>
      <c r="AI75" s="638"/>
      <c r="AJ75" s="638"/>
      <c r="AK75" s="1657">
        <v>11</v>
      </c>
    </row>
    <row s="1657" customFormat="1" customHeight="1" ht="11.549999999999999">
      <c r="A76" s="1003"/>
      <c r="B76" s="1003"/>
      <c r="C76" s="1003"/>
      <c r="D76" s="1003"/>
      <c r="E76" s="1003"/>
      <c r="F76" s="1652"/>
      <c r="G76" s="1652"/>
      <c r="H76" s="367"/>
      <c r="N76" s="1382"/>
      <c r="P76" s="1382"/>
      <c r="Q76" s="1652"/>
      <c r="R76" s="1652"/>
      <c r="S76" s="1382"/>
      <c r="T76" s="1382"/>
      <c r="U76" s="1382"/>
      <c r="V76" s="1382"/>
      <c r="W76" s="1652"/>
      <c r="X76" s="1382"/>
      <c r="Y76" s="1382"/>
      <c r="Z76" s="560"/>
      <c r="AA76" s="1382"/>
      <c r="AB76" s="1382"/>
      <c r="AC76" s="1382"/>
      <c r="AD76" s="1382"/>
      <c r="AE76" s="1382"/>
      <c r="AF76" s="1648"/>
      <c r="AG76" s="638"/>
      <c r="AH76" s="638"/>
      <c r="AI76" s="638"/>
      <c r="AJ76" s="638"/>
      <c r="AK76" s="1657">
        <v>11</v>
      </c>
    </row>
    <row s="1657" customFormat="1" customHeight="1" ht="11.549999999999999">
      <c r="A77" s="1003"/>
      <c r="B77" s="1003"/>
      <c r="C77" s="1003"/>
      <c r="D77" s="1003"/>
      <c r="E77" s="1003"/>
      <c r="F77" s="1652"/>
      <c r="G77" s="1652"/>
      <c r="H77" s="367"/>
      <c r="N77" s="1382"/>
      <c r="P77" s="1382"/>
      <c r="Q77" s="1652"/>
      <c r="R77" s="1652"/>
      <c r="S77" s="1382"/>
      <c r="T77" s="1382"/>
      <c r="U77" s="1382"/>
      <c r="V77" s="1382"/>
      <c r="W77" s="1652"/>
      <c r="X77" s="1382"/>
      <c r="Y77" s="1382"/>
      <c r="Z77" s="560"/>
      <c r="AA77" s="1382"/>
      <c r="AB77" s="1382"/>
      <c r="AC77" s="1382"/>
      <c r="AD77" s="1382"/>
      <c r="AE77" s="1382"/>
      <c r="AF77" s="1648"/>
      <c r="AG77" s="638"/>
      <c r="AH77" s="638"/>
      <c r="AI77" s="638"/>
      <c r="AJ77" s="638"/>
      <c r="AK77" s="1657">
        <v>11</v>
      </c>
    </row>
    <row s="1657" customFormat="1" customHeight="1" ht="11.549999999999999">
      <c r="A78" s="1003"/>
      <c r="B78" s="1003"/>
      <c r="C78" s="1003"/>
      <c r="D78" s="1003"/>
      <c r="E78" s="1003"/>
      <c r="F78" s="1652"/>
      <c r="G78" s="1652"/>
      <c r="H78" s="367"/>
      <c r="N78" s="1382"/>
      <c r="P78" s="1382"/>
      <c r="Q78" s="1652"/>
      <c r="R78" s="1652"/>
      <c r="S78" s="1382"/>
      <c r="T78" s="1382"/>
      <c r="U78" s="1382"/>
      <c r="V78" s="1382"/>
      <c r="W78" s="1652"/>
      <c r="X78" s="1382"/>
      <c r="Y78" s="1382"/>
      <c r="Z78" s="560"/>
      <c r="AA78" s="1382"/>
      <c r="AB78" s="1382"/>
      <c r="AC78" s="1382"/>
      <c r="AD78" s="1382"/>
      <c r="AE78" s="1382"/>
      <c r="AF78" s="1648"/>
      <c r="AG78" s="638"/>
      <c r="AH78" s="638"/>
      <c r="AI78" s="638"/>
      <c r="AJ78" s="638"/>
      <c r="AK78" s="1657">
        <v>11</v>
      </c>
    </row>
    <row s="1657" customFormat="1" customHeight="1" ht="11.549999999999999">
      <c r="A79" s="1003"/>
      <c r="B79" s="1003"/>
      <c r="C79" s="1003"/>
      <c r="D79" s="1003"/>
      <c r="E79" s="1003"/>
      <c r="F79" s="1652"/>
      <c r="G79" s="1652"/>
      <c r="H79" s="367"/>
      <c r="N79" s="1382"/>
      <c r="P79" s="1382"/>
      <c r="Q79" s="1652"/>
      <c r="R79" s="1652"/>
      <c r="S79" s="1382"/>
      <c r="T79" s="1382"/>
      <c r="U79" s="1382"/>
      <c r="V79" s="1382"/>
      <c r="W79" s="1652"/>
      <c r="X79" s="1382"/>
      <c r="Y79" s="1382"/>
      <c r="Z79" s="560"/>
      <c r="AA79" s="1382"/>
      <c r="AB79" s="1382"/>
      <c r="AC79" s="1382"/>
      <c r="AD79" s="1382"/>
      <c r="AE79" s="1382"/>
      <c r="AF79" s="1648"/>
      <c r="AG79" s="638"/>
      <c r="AH79" s="638"/>
      <c r="AI79" s="638"/>
      <c r="AJ79" s="638"/>
      <c r="AK79" s="1657">
        <v>11</v>
      </c>
    </row>
    <row s="1657" customFormat="1" customHeight="1" ht="11.549999999999999">
      <c r="A80" s="1003"/>
      <c r="B80" s="1003"/>
      <c r="C80" s="1003"/>
      <c r="D80" s="1003"/>
      <c r="E80" s="1003"/>
      <c r="F80" s="1652"/>
      <c r="G80" s="1652"/>
      <c r="H80" s="367"/>
      <c r="N80" s="1382"/>
      <c r="P80" s="1382"/>
      <c r="Q80" s="1652"/>
      <c r="R80" s="1652"/>
      <c r="S80" s="1382"/>
      <c r="T80" s="1382"/>
      <c r="U80" s="1382"/>
      <c r="V80" s="1382"/>
      <c r="W80" s="1652"/>
      <c r="X80" s="1382"/>
      <c r="Y80" s="1382"/>
      <c r="Z80" s="560"/>
      <c r="AA80" s="1382"/>
      <c r="AB80" s="1382"/>
      <c r="AC80" s="1382"/>
      <c r="AD80" s="1382"/>
      <c r="AE80" s="1382"/>
      <c r="AF80" s="1648"/>
      <c r="AG80" s="638"/>
      <c r="AH80" s="638"/>
      <c r="AI80" s="638"/>
      <c r="AJ80" s="638"/>
      <c r="AK80" s="1657">
        <v>11</v>
      </c>
    </row>
    <row s="1657" customFormat="1" customHeight="1" ht="11.549999999999999">
      <c r="A81" s="1003"/>
      <c r="B81" s="1003"/>
      <c r="C81" s="1003"/>
      <c r="D81" s="1003"/>
      <c r="E81" s="1003"/>
      <c r="F81" s="1652"/>
      <c r="G81" s="1652"/>
      <c r="H81" s="367"/>
      <c r="N81" s="1382"/>
      <c r="P81" s="1382"/>
      <c r="Q81" s="1652"/>
      <c r="R81" s="1652"/>
      <c r="S81" s="1382"/>
      <c r="T81" s="1382"/>
      <c r="U81" s="1382"/>
      <c r="V81" s="1382"/>
      <c r="W81" s="1652"/>
      <c r="X81" s="1382"/>
      <c r="Y81" s="1382"/>
      <c r="Z81" s="560"/>
      <c r="AA81" s="1382"/>
      <c r="AB81" s="1382"/>
      <c r="AC81" s="1382"/>
      <c r="AD81" s="1382"/>
      <c r="AE81" s="1382"/>
      <c r="AF81" s="1648"/>
      <c r="AG81" s="638"/>
      <c r="AH81" s="638"/>
      <c r="AI81" s="638"/>
      <c r="AJ81" s="638"/>
      <c r="AK81" s="1657">
        <v>11</v>
      </c>
    </row>
    <row s="1657" customFormat="1" customHeight="1" ht="11.549999999999999">
      <c r="A82" s="1003"/>
      <c r="B82" s="1003"/>
      <c r="C82" s="1003"/>
      <c r="D82" s="1003"/>
      <c r="E82" s="1003"/>
      <c r="F82" s="1652"/>
      <c r="G82" s="1652"/>
      <c r="H82" s="367"/>
      <c r="N82" s="1382"/>
      <c r="P82" s="1382"/>
      <c r="Q82" s="1652"/>
      <c r="R82" s="1652"/>
      <c r="S82" s="1382"/>
      <c r="T82" s="1382"/>
      <c r="U82" s="1382"/>
      <c r="V82" s="1382"/>
      <c r="W82" s="1652"/>
      <c r="X82" s="1382"/>
      <c r="Y82" s="1382"/>
      <c r="Z82" s="560"/>
      <c r="AA82" s="1382"/>
      <c r="AB82" s="1382"/>
      <c r="AC82" s="1382"/>
      <c r="AD82" s="1382"/>
      <c r="AE82" s="1382"/>
      <c r="AF82" s="1648"/>
      <c r="AG82" s="638"/>
      <c r="AH82" s="638"/>
      <c r="AI82" s="638"/>
      <c r="AJ82" s="638"/>
      <c r="AK82" s="1657">
        <v>11</v>
      </c>
    </row>
    <row s="1657" customFormat="1" customHeight="1" ht="11.549999999999999">
      <c r="A83" s="1003"/>
      <c r="B83" s="1003"/>
      <c r="C83" s="1003"/>
      <c r="D83" s="1003"/>
      <c r="E83" s="1003"/>
      <c r="F83" s="1652"/>
      <c r="G83" s="1652"/>
      <c r="H83" s="367"/>
      <c r="N83" s="1382"/>
      <c r="P83" s="1382"/>
      <c r="Q83" s="1652"/>
      <c r="R83" s="1652"/>
      <c r="S83" s="1382"/>
      <c r="T83" s="1382"/>
      <c r="U83" s="1382"/>
      <c r="V83" s="1382"/>
      <c r="W83" s="1652"/>
      <c r="X83" s="1382"/>
      <c r="Y83" s="1382"/>
      <c r="Z83" s="560"/>
      <c r="AA83" s="1382"/>
      <c r="AB83" s="1382"/>
      <c r="AC83" s="1382"/>
      <c r="AD83" s="1382"/>
      <c r="AE83" s="1382"/>
      <c r="AF83" s="1648"/>
      <c r="AG83" s="638"/>
      <c r="AH83" s="638"/>
      <c r="AI83" s="638"/>
      <c r="AJ83" s="638"/>
      <c r="AK83" s="1657">
        <v>11</v>
      </c>
    </row>
    <row s="1657" customFormat="1" customHeight="1" ht="11.549999999999999">
      <c r="A84" s="1003"/>
      <c r="B84" s="1003"/>
      <c r="C84" s="1003"/>
      <c r="D84" s="1003"/>
      <c r="E84" s="1003"/>
      <c r="F84" s="1652"/>
      <c r="G84" s="1652"/>
      <c r="H84" s="367"/>
      <c r="N84" s="1382"/>
      <c r="P84" s="1382"/>
      <c r="Q84" s="1652"/>
      <c r="R84" s="1652"/>
      <c r="S84" s="1382"/>
      <c r="T84" s="1382"/>
      <c r="U84" s="1382"/>
      <c r="V84" s="1382"/>
      <c r="W84" s="1652"/>
      <c r="X84" s="1382"/>
      <c r="Y84" s="1382"/>
      <c r="Z84" s="560"/>
      <c r="AA84" s="1382"/>
      <c r="AB84" s="1382"/>
      <c r="AC84" s="1382"/>
      <c r="AD84" s="1382"/>
      <c r="AE84" s="1382"/>
      <c r="AF84" s="1648"/>
      <c r="AG84" s="638"/>
      <c r="AH84" s="638"/>
      <c r="AI84" s="638"/>
      <c r="AJ84" s="638"/>
      <c r="AK84" s="1657">
        <v>11</v>
      </c>
    </row>
    <row s="1657" customFormat="1" customHeight="1" ht="11.549999999999999">
      <c r="A85" s="1003"/>
      <c r="B85" s="1003"/>
      <c r="C85" s="1003"/>
      <c r="D85" s="1003"/>
      <c r="E85" s="1003"/>
      <c r="F85" s="1652"/>
      <c r="G85" s="1652"/>
      <c r="H85" s="367"/>
      <c r="N85" s="1382"/>
      <c r="P85" s="1382"/>
      <c r="Q85" s="1652"/>
      <c r="R85" s="1652"/>
      <c r="S85" s="1382"/>
      <c r="T85" s="1382"/>
      <c r="U85" s="1382"/>
      <c r="V85" s="1382"/>
      <c r="W85" s="1652"/>
      <c r="X85" s="1382"/>
      <c r="Y85" s="1382"/>
      <c r="Z85" s="560"/>
      <c r="AA85" s="1382"/>
      <c r="AB85" s="1382"/>
      <c r="AC85" s="1382"/>
      <c r="AD85" s="1382"/>
      <c r="AE85" s="1382"/>
      <c r="AF85" s="1648"/>
      <c r="AG85" s="638"/>
      <c r="AH85" s="638"/>
      <c r="AI85" s="638"/>
      <c r="AJ85" s="638"/>
      <c r="AK85" s="1657">
        <v>11</v>
      </c>
    </row>
    <row s="1657" customFormat="1" customHeight="1" ht="11.549999999999999">
      <c r="A86" s="1003"/>
      <c r="B86" s="1003"/>
      <c r="C86" s="1003"/>
      <c r="D86" s="1003"/>
      <c r="E86" s="1003"/>
      <c r="F86" s="1652"/>
      <c r="G86" s="1652"/>
      <c r="H86" s="367"/>
      <c r="N86" s="1382"/>
      <c r="P86" s="1382"/>
      <c r="Q86" s="1652"/>
      <c r="R86" s="1652"/>
      <c r="S86" s="1382"/>
      <c r="T86" s="1382"/>
      <c r="U86" s="1382"/>
      <c r="V86" s="1382"/>
      <c r="W86" s="1652"/>
      <c r="X86" s="1382"/>
      <c r="Y86" s="1382"/>
      <c r="Z86" s="560"/>
      <c r="AA86" s="1382"/>
      <c r="AB86" s="1382"/>
      <c r="AC86" s="1382"/>
      <c r="AD86" s="1382"/>
      <c r="AE86" s="1382"/>
      <c r="AF86" s="1648"/>
      <c r="AG86" s="638"/>
      <c r="AH86" s="638"/>
      <c r="AI86" s="638"/>
      <c r="AJ86" s="638"/>
      <c r="AK86" s="1657">
        <v>11</v>
      </c>
    </row>
    <row s="1657" customFormat="1" customHeight="1" ht="11.549999999999999">
      <c r="A87" s="1003"/>
      <c r="B87" s="1003"/>
      <c r="C87" s="1003"/>
      <c r="D87" s="1003"/>
      <c r="E87" s="1003"/>
      <c r="F87" s="1652"/>
      <c r="G87" s="1652"/>
      <c r="H87" s="367"/>
      <c r="N87" s="1382"/>
      <c r="P87" s="1382"/>
      <c r="Q87" s="1652"/>
      <c r="R87" s="1652"/>
      <c r="S87" s="1382"/>
      <c r="T87" s="1382"/>
      <c r="U87" s="1382"/>
      <c r="V87" s="1382"/>
      <c r="W87" s="1652"/>
      <c r="X87" s="1382"/>
      <c r="Y87" s="1382"/>
      <c r="Z87" s="560"/>
      <c r="AA87" s="1382"/>
      <c r="AB87" s="1382"/>
      <c r="AC87" s="1382"/>
      <c r="AD87" s="1382"/>
      <c r="AE87" s="1382"/>
      <c r="AF87" s="1648"/>
      <c r="AG87" s="638"/>
      <c r="AH87" s="638"/>
      <c r="AI87" s="638"/>
      <c r="AJ87" s="638"/>
      <c r="AK87" s="1657">
        <v>11</v>
      </c>
    </row>
    <row s="1657" customFormat="1" customHeight="1" ht="11.549999999999999">
      <c r="A88" s="1003"/>
      <c r="B88" s="1003"/>
      <c r="C88" s="1003"/>
      <c r="D88" s="1003"/>
      <c r="E88" s="1003"/>
      <c r="F88" s="1652"/>
      <c r="G88" s="1652"/>
      <c r="H88" s="367"/>
      <c r="N88" s="1382"/>
      <c r="P88" s="1382"/>
      <c r="Q88" s="1652"/>
      <c r="R88" s="1652"/>
      <c r="S88" s="1382"/>
      <c r="T88" s="1382"/>
      <c r="U88" s="1382"/>
      <c r="V88" s="1382"/>
      <c r="W88" s="1652"/>
      <c r="X88" s="1382"/>
      <c r="Y88" s="1382"/>
      <c r="Z88" s="560"/>
      <c r="AA88" s="1382"/>
      <c r="AB88" s="1382"/>
      <c r="AC88" s="1382"/>
      <c r="AD88" s="1382"/>
      <c r="AE88" s="1382"/>
      <c r="AF88" s="1648"/>
      <c r="AG88" s="638"/>
      <c r="AH88" s="638"/>
      <c r="AI88" s="638"/>
      <c r="AJ88" s="638"/>
      <c r="AK88" s="1657">
        <v>11</v>
      </c>
    </row>
    <row s="1657" customFormat="1" customHeight="1" ht="11.549999999999999">
      <c r="A89" s="1003"/>
      <c r="B89" s="1003"/>
      <c r="C89" s="1003"/>
      <c r="D89" s="1003"/>
      <c r="E89" s="1003"/>
      <c r="F89" s="1652"/>
      <c r="G89" s="1652"/>
      <c r="H89" s="367"/>
      <c r="N89" s="1382"/>
      <c r="P89" s="1382"/>
      <c r="Q89" s="1652"/>
      <c r="R89" s="1652"/>
      <c r="S89" s="1382"/>
      <c r="T89" s="1382"/>
      <c r="U89" s="1382"/>
      <c r="V89" s="1382"/>
      <c r="W89" s="1652"/>
      <c r="X89" s="1382"/>
      <c r="Y89" s="1382"/>
      <c r="Z89" s="560"/>
      <c r="AA89" s="1382"/>
      <c r="AB89" s="1382"/>
      <c r="AC89" s="1382"/>
      <c r="AD89" s="1382"/>
      <c r="AE89" s="1382"/>
      <c r="AF89" s="1648"/>
      <c r="AG89" s="638"/>
      <c r="AH89" s="638"/>
      <c r="AI89" s="638"/>
      <c r="AJ89" s="638"/>
      <c r="AK89" s="1657">
        <v>11</v>
      </c>
    </row>
    <row s="1657" customFormat="1" customHeight="1" ht="11.549999999999999">
      <c r="A90" s="1003"/>
      <c r="B90" s="1003"/>
      <c r="C90" s="1003"/>
      <c r="D90" s="1003"/>
      <c r="E90" s="1003"/>
      <c r="F90" s="1652"/>
      <c r="G90" s="1652"/>
      <c r="H90" s="367"/>
      <c r="N90" s="1382"/>
      <c r="P90" s="1382"/>
      <c r="Q90" s="1652"/>
      <c r="R90" s="1652"/>
      <c r="S90" s="1382"/>
      <c r="T90" s="1382"/>
      <c r="U90" s="1382"/>
      <c r="V90" s="1382"/>
      <c r="W90" s="1652"/>
      <c r="X90" s="1382"/>
      <c r="Y90" s="1382"/>
      <c r="Z90" s="560"/>
      <c r="AA90" s="1382"/>
      <c r="AB90" s="1382"/>
      <c r="AC90" s="1382"/>
      <c r="AD90" s="1382"/>
      <c r="AE90" s="1382"/>
      <c r="AF90" s="1648"/>
      <c r="AG90" s="638"/>
      <c r="AH90" s="638"/>
      <c r="AI90" s="638"/>
      <c r="AJ90" s="638"/>
      <c r="AK90" s="1657">
        <v>11</v>
      </c>
    </row>
    <row s="1657" customFormat="1" customHeight="1" ht="11.549999999999999">
      <c r="A91" s="1003"/>
      <c r="B91" s="1003"/>
      <c r="C91" s="1003"/>
      <c r="D91" s="1003"/>
      <c r="E91" s="1003"/>
      <c r="F91" s="1652"/>
      <c r="G91" s="1652"/>
      <c r="H91" s="367"/>
      <c r="N91" s="1382"/>
      <c r="P91" s="1382"/>
      <c r="Q91" s="1652"/>
      <c r="R91" s="1652"/>
      <c r="S91" s="1382"/>
      <c r="T91" s="1382"/>
      <c r="U91" s="1382"/>
      <c r="V91" s="1382"/>
      <c r="W91" s="1652"/>
      <c r="X91" s="1382"/>
      <c r="Y91" s="1382"/>
      <c r="Z91" s="560"/>
      <c r="AA91" s="1382"/>
      <c r="AB91" s="1382"/>
      <c r="AC91" s="1382"/>
      <c r="AD91" s="1382"/>
      <c r="AE91" s="1382"/>
      <c r="AF91" s="1648"/>
      <c r="AG91" s="638"/>
      <c r="AH91" s="638"/>
      <c r="AI91" s="638"/>
      <c r="AJ91" s="638"/>
      <c r="AK91" s="1657">
        <v>11</v>
      </c>
    </row>
    <row s="1657" customFormat="1" customHeight="1" ht="11.549999999999999">
      <c r="A92" s="1003"/>
      <c r="B92" s="1003"/>
      <c r="C92" s="1003"/>
      <c r="D92" s="1003"/>
      <c r="E92" s="1003"/>
      <c r="F92" s="1652"/>
      <c r="G92" s="1652"/>
      <c r="H92" s="367"/>
      <c r="N92" s="1382"/>
      <c r="P92" s="1382"/>
      <c r="Q92" s="1652"/>
      <c r="R92" s="1652"/>
      <c r="S92" s="1382"/>
      <c r="T92" s="1382"/>
      <c r="U92" s="1382"/>
      <c r="V92" s="1382"/>
      <c r="W92" s="1652"/>
      <c r="X92" s="1382"/>
      <c r="Y92" s="1382"/>
      <c r="Z92" s="560"/>
      <c r="AA92" s="1382"/>
      <c r="AB92" s="1382"/>
      <c r="AC92" s="1382"/>
      <c r="AD92" s="1382"/>
      <c r="AE92" s="1382"/>
      <c r="AF92" s="1648"/>
      <c r="AG92" s="638"/>
      <c r="AH92" s="638"/>
      <c r="AI92" s="638"/>
      <c r="AJ92" s="638"/>
      <c r="AK92" s="1657">
        <v>11</v>
      </c>
    </row>
    <row s="1657" customFormat="1" customHeight="1" ht="11.549999999999999">
      <c r="A93" s="1003"/>
      <c r="B93" s="1003"/>
      <c r="C93" s="1003"/>
      <c r="D93" s="1003"/>
      <c r="E93" s="1003"/>
      <c r="F93" s="1652"/>
      <c r="G93" s="1652"/>
      <c r="H93" s="367"/>
      <c r="N93" s="1382"/>
      <c r="P93" s="1382"/>
      <c r="Q93" s="1652"/>
      <c r="R93" s="1652"/>
      <c r="S93" s="1382"/>
      <c r="T93" s="1382"/>
      <c r="U93" s="1382"/>
      <c r="V93" s="1382"/>
      <c r="W93" s="1652"/>
      <c r="X93" s="1382"/>
      <c r="Y93" s="1382"/>
      <c r="Z93" s="560"/>
      <c r="AA93" s="1382"/>
      <c r="AB93" s="1382"/>
      <c r="AC93" s="1382"/>
      <c r="AD93" s="1382"/>
      <c r="AE93" s="1382"/>
      <c r="AF93" s="1648"/>
      <c r="AG93" s="638"/>
      <c r="AH93" s="638"/>
      <c r="AI93" s="638"/>
      <c r="AJ93" s="638"/>
      <c r="AK93" s="1657">
        <v>11</v>
      </c>
    </row>
    <row s="1657" customFormat="1" customHeight="1" ht="11.549999999999999">
      <c r="A94" s="1003"/>
      <c r="B94" s="1003"/>
      <c r="C94" s="1003"/>
      <c r="D94" s="1003"/>
      <c r="E94" s="1003"/>
      <c r="F94" s="1652"/>
      <c r="G94" s="1652"/>
      <c r="H94" s="367"/>
      <c r="N94" s="1382"/>
      <c r="P94" s="1382"/>
      <c r="Q94" s="1652"/>
      <c r="R94" s="1652"/>
      <c r="S94" s="1382"/>
      <c r="T94" s="1382"/>
      <c r="U94" s="1382"/>
      <c r="V94" s="1382"/>
      <c r="W94" s="1652"/>
      <c r="X94" s="1382"/>
      <c r="Y94" s="1382"/>
      <c r="Z94" s="560"/>
      <c r="AA94" s="1382"/>
      <c r="AB94" s="1382"/>
      <c r="AC94" s="1382"/>
      <c r="AD94" s="1382"/>
      <c r="AE94" s="1382"/>
      <c r="AF94" s="1648"/>
      <c r="AG94" s="638"/>
      <c r="AH94" s="638"/>
      <c r="AI94" s="638"/>
      <c r="AJ94" s="638"/>
      <c r="AK94" s="1657">
        <v>11</v>
      </c>
    </row>
    <row s="1657" customFormat="1" customHeight="1" ht="11.549999999999999">
      <c r="A95" s="1003"/>
      <c r="B95" s="1003"/>
      <c r="C95" s="1003"/>
      <c r="D95" s="1003"/>
      <c r="E95" s="1003"/>
      <c r="F95" s="1652"/>
      <c r="G95" s="1652"/>
      <c r="H95" s="367"/>
      <c r="N95" s="1382"/>
      <c r="P95" s="1382"/>
      <c r="Q95" s="1652"/>
      <c r="R95" s="1652"/>
      <c r="S95" s="1382"/>
      <c r="T95" s="1382"/>
      <c r="U95" s="1382"/>
      <c r="V95" s="1382"/>
      <c r="W95" s="1652"/>
      <c r="X95" s="1382"/>
      <c r="Y95" s="1382"/>
      <c r="Z95" s="560"/>
      <c r="AA95" s="1382"/>
      <c r="AB95" s="1382"/>
      <c r="AC95" s="1382"/>
      <c r="AD95" s="1382"/>
      <c r="AE95" s="1382"/>
      <c r="AF95" s="1648"/>
      <c r="AG95" s="638"/>
      <c r="AH95" s="638"/>
      <c r="AI95" s="638"/>
      <c r="AJ95" s="638"/>
      <c r="AK95" s="1657">
        <v>11</v>
      </c>
    </row>
    <row s="1657" customFormat="1" customHeight="1" ht="11.549999999999999">
      <c r="A96" s="1003"/>
      <c r="B96" s="1003"/>
      <c r="C96" s="1003"/>
      <c r="D96" s="1003"/>
      <c r="E96" s="1003"/>
      <c r="F96" s="1652"/>
      <c r="G96" s="1652"/>
      <c r="H96" s="367"/>
      <c r="N96" s="1382"/>
      <c r="P96" s="1382"/>
      <c r="Q96" s="1652"/>
      <c r="R96" s="1652"/>
      <c r="S96" s="1382"/>
      <c r="T96" s="1382"/>
      <c r="U96" s="1382"/>
      <c r="V96" s="1382"/>
      <c r="W96" s="1652"/>
      <c r="X96" s="1382"/>
      <c r="Y96" s="1382"/>
      <c r="Z96" s="560"/>
      <c r="AA96" s="1382"/>
      <c r="AB96" s="1382"/>
      <c r="AC96" s="1382"/>
      <c r="AD96" s="1382"/>
      <c r="AE96" s="1382"/>
      <c r="AF96" s="1648"/>
      <c r="AG96" s="638"/>
      <c r="AH96" s="638"/>
      <c r="AI96" s="638"/>
      <c r="AJ96" s="638"/>
      <c r="AK96" s="1657">
        <v>11</v>
      </c>
    </row>
    <row s="1657" customFormat="1" customHeight="1" ht="11.549999999999999">
      <c r="A97" s="1003"/>
      <c r="B97" s="1003"/>
      <c r="C97" s="1003"/>
      <c r="D97" s="1003"/>
      <c r="E97" s="1003"/>
      <c r="F97" s="1652"/>
      <c r="G97" s="1652"/>
      <c r="H97" s="367"/>
      <c r="N97" s="1382"/>
      <c r="P97" s="1382"/>
      <c r="Q97" s="1652"/>
      <c r="R97" s="1652"/>
      <c r="S97" s="1382"/>
      <c r="T97" s="1382"/>
      <c r="U97" s="1382"/>
      <c r="V97" s="1382"/>
      <c r="W97" s="1652"/>
      <c r="X97" s="1382"/>
      <c r="Y97" s="1382"/>
      <c r="Z97" s="560"/>
      <c r="AA97" s="1382"/>
      <c r="AB97" s="1382"/>
      <c r="AC97" s="1382"/>
      <c r="AD97" s="1382"/>
      <c r="AE97" s="1382"/>
      <c r="AF97" s="1648"/>
      <c r="AG97" s="638"/>
      <c r="AH97" s="638"/>
      <c r="AI97" s="638"/>
      <c r="AJ97" s="638"/>
      <c r="AK97" s="1657">
        <v>11</v>
      </c>
    </row>
    <row s="1657" customFormat="1" customHeight="1" ht="11.549999999999999">
      <c r="A98" s="1003"/>
      <c r="B98" s="1003"/>
      <c r="C98" s="1003"/>
      <c r="D98" s="1003"/>
      <c r="E98" s="1003"/>
      <c r="F98" s="1652"/>
      <c r="G98" s="1652"/>
      <c r="H98" s="367"/>
      <c r="N98" s="1382"/>
      <c r="P98" s="1382"/>
      <c r="Q98" s="1652"/>
      <c r="R98" s="1652"/>
      <c r="S98" s="1382"/>
      <c r="T98" s="1382"/>
      <c r="U98" s="1382"/>
      <c r="V98" s="1382"/>
      <c r="W98" s="1652"/>
      <c r="X98" s="1382"/>
      <c r="Y98" s="1382"/>
      <c r="Z98" s="560"/>
      <c r="AA98" s="1382"/>
      <c r="AB98" s="1382"/>
      <c r="AC98" s="1382"/>
      <c r="AD98" s="1382"/>
      <c r="AE98" s="1382"/>
      <c r="AF98" s="1648"/>
      <c r="AG98" s="638"/>
      <c r="AH98" s="638"/>
      <c r="AI98" s="638"/>
      <c r="AJ98" s="638"/>
      <c r="AK98" s="1657">
        <v>11</v>
      </c>
    </row>
    <row s="1657" customFormat="1" customHeight="1" ht="11.549999999999999">
      <c r="A99" s="1003"/>
      <c r="B99" s="1003"/>
      <c r="C99" s="1003"/>
      <c r="D99" s="1003"/>
      <c r="E99" s="1003"/>
      <c r="F99" s="1652"/>
      <c r="G99" s="1652"/>
      <c r="H99" s="367"/>
      <c r="N99" s="1382"/>
      <c r="P99" s="1382"/>
      <c r="Q99" s="1652"/>
      <c r="R99" s="1652"/>
      <c r="S99" s="1382"/>
      <c r="T99" s="1382"/>
      <c r="U99" s="1382"/>
      <c r="V99" s="1382"/>
      <c r="W99" s="1652"/>
      <c r="X99" s="1382"/>
      <c r="Y99" s="1382"/>
      <c r="Z99" s="560"/>
      <c r="AA99" s="1382"/>
      <c r="AB99" s="1382"/>
      <c r="AC99" s="1382"/>
      <c r="AD99" s="1382"/>
      <c r="AE99" s="1382"/>
      <c r="AF99" s="1648"/>
      <c r="AG99" s="638"/>
      <c r="AH99" s="638"/>
      <c r="AI99" s="638"/>
      <c r="AJ99" s="638"/>
      <c r="AK99" s="1657">
        <v>11</v>
      </c>
    </row>
    <row s="1657" customFormat="1" customHeight="1" ht="11.549999999999999">
      <c r="A100" s="1003"/>
      <c r="B100" s="1003"/>
      <c r="C100" s="1003"/>
      <c r="D100" s="1003"/>
      <c r="E100" s="1003"/>
      <c r="F100" s="1652"/>
      <c r="G100" s="1652"/>
      <c r="H100" s="367"/>
      <c r="N100" s="1382"/>
      <c r="P100" s="1382"/>
      <c r="Q100" s="1652"/>
      <c r="R100" s="1652"/>
      <c r="S100" s="1382"/>
      <c r="T100" s="1382"/>
      <c r="U100" s="1382"/>
      <c r="V100" s="1382"/>
      <c r="W100" s="1652"/>
      <c r="X100" s="1382"/>
      <c r="Y100" s="1382"/>
      <c r="Z100" s="560"/>
      <c r="AA100" s="1382"/>
      <c r="AB100" s="1382"/>
      <c r="AC100" s="1382"/>
      <c r="AD100" s="1382"/>
      <c r="AE100" s="1382"/>
      <c r="AF100" s="1648"/>
      <c r="AG100" s="638"/>
      <c r="AH100" s="638"/>
      <c r="AI100" s="638"/>
      <c r="AJ100" s="638"/>
      <c r="AK100" s="1657">
        <v>11</v>
      </c>
    </row>
    <row s="1657" customFormat="1" customHeight="1" ht="11.549999999999999">
      <c r="A101" s="1003"/>
      <c r="B101" s="1003"/>
      <c r="C101" s="1003"/>
      <c r="D101" s="1003"/>
      <c r="E101" s="1003"/>
      <c r="F101" s="1652"/>
      <c r="G101" s="1652"/>
      <c r="H101" s="367"/>
      <c r="N101" s="1382"/>
      <c r="P101" s="1382"/>
      <c r="Q101" s="1652"/>
      <c r="R101" s="1652"/>
      <c r="S101" s="1382"/>
      <c r="T101" s="1382"/>
      <c r="U101" s="1382"/>
      <c r="V101" s="1382"/>
      <c r="W101" s="1652"/>
      <c r="X101" s="1382"/>
      <c r="Y101" s="1382"/>
      <c r="Z101" s="560"/>
      <c r="AA101" s="1382"/>
      <c r="AB101" s="1382"/>
      <c r="AC101" s="1382"/>
      <c r="AD101" s="1382"/>
      <c r="AE101" s="1382"/>
      <c r="AF101" s="1648"/>
      <c r="AG101" s="638"/>
      <c r="AH101" s="638"/>
      <c r="AI101" s="638"/>
      <c r="AJ101" s="638"/>
      <c r="AK101" s="1657">
        <v>11</v>
      </c>
    </row>
    <row s="1657" customFormat="1" customHeight="1" ht="11.549999999999999">
      <c r="A102" s="1003"/>
      <c r="B102" s="1003"/>
      <c r="C102" s="1003"/>
      <c r="D102" s="1003"/>
      <c r="E102" s="1003"/>
      <c r="F102" s="1652"/>
      <c r="G102" s="1652"/>
      <c r="H102" s="367"/>
      <c r="N102" s="1382"/>
      <c r="P102" s="1382"/>
      <c r="Q102" s="1652"/>
      <c r="R102" s="1652"/>
      <c r="S102" s="1382"/>
      <c r="T102" s="1382"/>
      <c r="U102" s="1382"/>
      <c r="V102" s="1382"/>
      <c r="W102" s="1652"/>
      <c r="X102" s="1382"/>
      <c r="Y102" s="1382"/>
      <c r="Z102" s="560"/>
      <c r="AA102" s="1382"/>
      <c r="AB102" s="1382"/>
      <c r="AC102" s="1382"/>
      <c r="AD102" s="1382"/>
      <c r="AE102" s="1382"/>
      <c r="AF102" s="1648"/>
      <c r="AG102" s="638"/>
      <c r="AH102" s="638"/>
      <c r="AI102" s="638"/>
      <c r="AJ102" s="638"/>
      <c r="AK102" s="1657">
        <v>11</v>
      </c>
    </row>
    <row s="1657" customFormat="1" customHeight="1" ht="11.549999999999999">
      <c r="A103" s="1003"/>
      <c r="B103" s="1003"/>
      <c r="C103" s="1003"/>
      <c r="D103" s="1003"/>
      <c r="E103" s="1003"/>
      <c r="F103" s="1652"/>
      <c r="G103" s="1652"/>
      <c r="H103" s="367"/>
      <c r="N103" s="1382"/>
      <c r="P103" s="1382"/>
      <c r="Q103" s="1652"/>
      <c r="R103" s="1652"/>
      <c r="S103" s="1382"/>
      <c r="T103" s="1382"/>
      <c r="U103" s="1382"/>
      <c r="V103" s="1382"/>
      <c r="W103" s="1652"/>
      <c r="X103" s="1382"/>
      <c r="Y103" s="1382"/>
      <c r="Z103" s="560"/>
      <c r="AA103" s="1382"/>
      <c r="AB103" s="1382"/>
      <c r="AC103" s="1382"/>
      <c r="AD103" s="1382"/>
      <c r="AE103" s="1382"/>
      <c r="AF103" s="1648"/>
      <c r="AG103" s="638"/>
      <c r="AH103" s="638"/>
      <c r="AI103" s="638"/>
      <c r="AJ103" s="638"/>
      <c r="AK103" s="1657">
        <v>11</v>
      </c>
    </row>
    <row s="1657" customFormat="1" customHeight="1" ht="11.549999999999999">
      <c r="A104" s="1003"/>
      <c r="B104" s="1003"/>
      <c r="C104" s="1003"/>
      <c r="D104" s="1003"/>
      <c r="E104" s="1003"/>
      <c r="F104" s="1652"/>
      <c r="G104" s="1652"/>
      <c r="H104" s="367"/>
      <c r="N104" s="1382"/>
      <c r="P104" s="1382"/>
      <c r="Q104" s="1652"/>
      <c r="R104" s="1652"/>
      <c r="S104" s="1382"/>
      <c r="T104" s="1382"/>
      <c r="U104" s="1382"/>
      <c r="V104" s="1382"/>
      <c r="W104" s="1652"/>
      <c r="X104" s="1382"/>
      <c r="Y104" s="1382"/>
      <c r="Z104" s="560"/>
      <c r="AA104" s="1382"/>
      <c r="AB104" s="1382"/>
      <c r="AC104" s="1382"/>
      <c r="AD104" s="1382"/>
      <c r="AE104" s="1382"/>
      <c r="AF104" s="1648"/>
      <c r="AG104" s="638"/>
      <c r="AH104" s="638"/>
      <c r="AI104" s="638"/>
      <c r="AJ104" s="638"/>
      <c r="AK104" s="1657">
        <v>11</v>
      </c>
    </row>
    <row s="1657" customFormat="1" customHeight="1" ht="11.549999999999999">
      <c r="A105" s="1003"/>
      <c r="B105" s="1003"/>
      <c r="C105" s="1003"/>
      <c r="D105" s="1003"/>
      <c r="E105" s="1003"/>
      <c r="F105" s="1652"/>
      <c r="G105" s="1652"/>
      <c r="H105" s="367"/>
      <c r="N105" s="1382"/>
      <c r="P105" s="1382"/>
      <c r="Q105" s="1652"/>
      <c r="R105" s="1652"/>
      <c r="S105" s="1382"/>
      <c r="T105" s="1382"/>
      <c r="U105" s="1382"/>
      <c r="V105" s="1382"/>
      <c r="W105" s="1652"/>
      <c r="X105" s="1382"/>
      <c r="Y105" s="1382"/>
      <c r="Z105" s="560"/>
      <c r="AA105" s="1382"/>
      <c r="AB105" s="1382"/>
      <c r="AC105" s="1382"/>
      <c r="AD105" s="1382"/>
      <c r="AE105" s="1382"/>
      <c r="AF105" s="1648"/>
      <c r="AG105" s="638"/>
      <c r="AH105" s="638"/>
      <c r="AI105" s="638"/>
      <c r="AJ105" s="638"/>
      <c r="AK105" s="1657">
        <v>11</v>
      </c>
    </row>
    <row s="1657" customFormat="1" customHeight="1" ht="11.549999999999999">
      <c r="A106" s="1003"/>
      <c r="B106" s="1003"/>
      <c r="C106" s="1003"/>
      <c r="D106" s="1003"/>
      <c r="E106" s="1003"/>
      <c r="F106" s="1652"/>
      <c r="G106" s="1652"/>
      <c r="H106" s="367"/>
      <c r="N106" s="1382"/>
      <c r="P106" s="1382"/>
      <c r="Q106" s="1652"/>
      <c r="R106" s="1652"/>
      <c r="S106" s="1382"/>
      <c r="T106" s="1382"/>
      <c r="U106" s="1382"/>
      <c r="V106" s="1382"/>
      <c r="W106" s="1652"/>
      <c r="X106" s="1382"/>
      <c r="Y106" s="1382"/>
      <c r="Z106" s="560"/>
      <c r="AA106" s="1382"/>
      <c r="AB106" s="1382"/>
      <c r="AC106" s="1382"/>
      <c r="AD106" s="1382"/>
      <c r="AE106" s="1382"/>
      <c r="AF106" s="1648"/>
      <c r="AG106" s="638"/>
      <c r="AH106" s="638"/>
      <c r="AI106" s="638"/>
      <c r="AJ106" s="638"/>
      <c r="AK106" s="1657">
        <v>11</v>
      </c>
    </row>
    <row s="1657" customFormat="1" customHeight="1" ht="11.549999999999999">
      <c r="A107" s="1003"/>
      <c r="B107" s="1003"/>
      <c r="C107" s="1003"/>
      <c r="D107" s="1003"/>
      <c r="E107" s="1003"/>
      <c r="F107" s="1652"/>
      <c r="G107" s="1652"/>
      <c r="H107" s="367"/>
      <c r="N107" s="1382"/>
      <c r="P107" s="1382"/>
      <c r="Q107" s="1652"/>
      <c r="R107" s="1652"/>
      <c r="S107" s="1382"/>
      <c r="T107" s="1382"/>
      <c r="U107" s="1382"/>
      <c r="V107" s="1382"/>
      <c r="W107" s="1652"/>
      <c r="X107" s="1382"/>
      <c r="Y107" s="1382"/>
      <c r="Z107" s="560"/>
      <c r="AA107" s="1382"/>
      <c r="AB107" s="1382"/>
      <c r="AC107" s="1382"/>
      <c r="AD107" s="1382"/>
      <c r="AE107" s="1382"/>
      <c r="AF107" s="1648"/>
      <c r="AG107" s="638"/>
      <c r="AH107" s="638"/>
      <c r="AI107" s="638"/>
      <c r="AJ107" s="638"/>
      <c r="AK107" s="1657">
        <v>11</v>
      </c>
    </row>
    <row s="1657" customFormat="1" customHeight="1" ht="11.549999999999999">
      <c r="A108" s="1003"/>
      <c r="B108" s="1003"/>
      <c r="C108" s="1003"/>
      <c r="D108" s="1003"/>
      <c r="E108" s="1003"/>
      <c r="F108" s="1652"/>
      <c r="G108" s="1652"/>
      <c r="H108" s="367"/>
      <c r="N108" s="1382"/>
      <c r="P108" s="1382"/>
      <c r="Q108" s="1652"/>
      <c r="R108" s="1652"/>
      <c r="S108" s="1382"/>
      <c r="T108" s="1382"/>
      <c r="U108" s="1382"/>
      <c r="V108" s="1382"/>
      <c r="W108" s="1652"/>
      <c r="X108" s="1382"/>
      <c r="Y108" s="1382"/>
      <c r="Z108" s="560"/>
      <c r="AA108" s="1382"/>
      <c r="AB108" s="1382"/>
      <c r="AC108" s="1382"/>
      <c r="AD108" s="1382"/>
      <c r="AE108" s="1382"/>
      <c r="AF108" s="1648"/>
      <c r="AG108" s="638"/>
      <c r="AH108" s="638"/>
      <c r="AI108" s="638"/>
      <c r="AJ108" s="638"/>
      <c r="AK108" s="1657">
        <v>11</v>
      </c>
    </row>
    <row s="1657" customFormat="1" customHeight="1" ht="11.549999999999999">
      <c r="A109" s="1003"/>
      <c r="B109" s="1003"/>
      <c r="C109" s="1003"/>
      <c r="D109" s="1003"/>
      <c r="E109" s="1003"/>
      <c r="F109" s="1652"/>
      <c r="G109" s="1652"/>
      <c r="H109" s="367"/>
      <c r="N109" s="1382"/>
      <c r="P109" s="1382"/>
      <c r="Q109" s="1652"/>
      <c r="R109" s="1652"/>
      <c r="S109" s="1382"/>
      <c r="T109" s="1382"/>
      <c r="U109" s="1382"/>
      <c r="V109" s="1382"/>
      <c r="W109" s="1652"/>
      <c r="X109" s="1382"/>
      <c r="Y109" s="1382"/>
      <c r="Z109" s="560"/>
      <c r="AA109" s="1382"/>
      <c r="AB109" s="1382"/>
      <c r="AC109" s="1382"/>
      <c r="AD109" s="1382"/>
      <c r="AE109" s="1382"/>
      <c r="AF109" s="1648"/>
      <c r="AG109" s="638"/>
      <c r="AH109" s="638"/>
      <c r="AI109" s="638"/>
      <c r="AJ109" s="638"/>
      <c r="AK109" s="1657">
        <v>11</v>
      </c>
    </row>
    <row s="1657" customFormat="1" customHeight="1" ht="11.549999999999999">
      <c r="A110" s="1003"/>
      <c r="B110" s="1003"/>
      <c r="C110" s="1003"/>
      <c r="D110" s="1003"/>
      <c r="E110" s="1003"/>
      <c r="F110" s="1652"/>
      <c r="G110" s="1652"/>
      <c r="H110" s="367"/>
      <c r="N110" s="1382"/>
      <c r="P110" s="1382"/>
      <c r="Q110" s="1652"/>
      <c r="R110" s="1652"/>
      <c r="S110" s="1382"/>
      <c r="T110" s="1382"/>
      <c r="U110" s="1382"/>
      <c r="V110" s="1382"/>
      <c r="W110" s="1652"/>
      <c r="X110" s="1382"/>
      <c r="Y110" s="1382"/>
      <c r="Z110" s="560"/>
      <c r="AA110" s="1382"/>
      <c r="AB110" s="1382"/>
      <c r="AC110" s="1382"/>
      <c r="AD110" s="1382"/>
      <c r="AE110" s="1382"/>
      <c r="AF110" s="1648"/>
      <c r="AG110" s="638"/>
      <c r="AH110" s="638"/>
      <c r="AI110" s="638"/>
      <c r="AJ110" s="638"/>
      <c r="AK110" s="1657">
        <v>11</v>
      </c>
    </row>
    <row s="1657" customFormat="1" customHeight="1" ht="11.549999999999999">
      <c r="A111" s="1003"/>
      <c r="B111" s="1003"/>
      <c r="C111" s="1003"/>
      <c r="D111" s="1003"/>
      <c r="E111" s="1003"/>
      <c r="F111" s="1652"/>
      <c r="G111" s="1652"/>
      <c r="H111" s="367"/>
      <c r="N111" s="1382"/>
      <c r="P111" s="1382"/>
      <c r="Q111" s="1652"/>
      <c r="R111" s="1652"/>
      <c r="S111" s="1382"/>
      <c r="T111" s="1382"/>
      <c r="U111" s="1382"/>
      <c r="V111" s="1382"/>
      <c r="W111" s="1652"/>
      <c r="X111" s="1382"/>
      <c r="Y111" s="1382"/>
      <c r="Z111" s="560"/>
      <c r="AA111" s="1382"/>
      <c r="AB111" s="1382"/>
      <c r="AC111" s="1382"/>
      <c r="AD111" s="1382"/>
      <c r="AE111" s="1382"/>
      <c r="AF111" s="1648"/>
      <c r="AG111" s="638"/>
      <c r="AH111" s="638"/>
      <c r="AI111" s="638"/>
      <c r="AJ111" s="638"/>
      <c r="AK111" s="1657">
        <v>11</v>
      </c>
    </row>
    <row s="1657" customFormat="1" customHeight="1" ht="11.549999999999999">
      <c r="A112" s="1003"/>
      <c r="B112" s="1003"/>
      <c r="C112" s="1003"/>
      <c r="D112" s="1003"/>
      <c r="E112" s="1003"/>
      <c r="F112" s="1652"/>
      <c r="G112" s="1652"/>
      <c r="H112" s="367"/>
      <c r="N112" s="1382"/>
      <c r="P112" s="1382"/>
      <c r="Q112" s="1652"/>
      <c r="R112" s="1652"/>
      <c r="S112" s="1382"/>
      <c r="T112" s="1382"/>
      <c r="U112" s="1382"/>
      <c r="V112" s="1382"/>
      <c r="W112" s="1652"/>
      <c r="X112" s="1382"/>
      <c r="Y112" s="1382"/>
      <c r="Z112" s="560"/>
      <c r="AA112" s="1382"/>
      <c r="AB112" s="1382"/>
      <c r="AC112" s="1382"/>
      <c r="AD112" s="1382"/>
      <c r="AE112" s="1382"/>
      <c r="AF112" s="1648"/>
      <c r="AG112" s="638"/>
      <c r="AH112" s="638"/>
      <c r="AI112" s="638"/>
      <c r="AJ112" s="638"/>
      <c r="AK112" s="1657">
        <v>11</v>
      </c>
    </row>
    <row s="1657" customFormat="1" customHeight="1" ht="11.549999999999999">
      <c r="A113" s="1003"/>
      <c r="B113" s="1003"/>
      <c r="C113" s="1003"/>
      <c r="D113" s="1003"/>
      <c r="E113" s="1003"/>
      <c r="F113" s="1652"/>
      <c r="G113" s="1652"/>
      <c r="H113" s="367"/>
      <c r="N113" s="1382"/>
      <c r="P113" s="1382"/>
      <c r="Q113" s="1652"/>
      <c r="R113" s="1652"/>
      <c r="S113" s="1382"/>
      <c r="T113" s="1382"/>
      <c r="U113" s="1382"/>
      <c r="V113" s="1382"/>
      <c r="W113" s="1652"/>
      <c r="X113" s="1382"/>
      <c r="Y113" s="1382"/>
      <c r="Z113" s="560"/>
      <c r="AA113" s="1382"/>
      <c r="AB113" s="1382"/>
      <c r="AC113" s="1382"/>
      <c r="AD113" s="1382"/>
      <c r="AE113" s="1382"/>
      <c r="AF113" s="1648"/>
      <c r="AG113" s="638"/>
      <c r="AH113" s="638"/>
      <c r="AI113" s="638"/>
      <c r="AJ113" s="638"/>
      <c r="AK113" s="1657">
        <v>11</v>
      </c>
    </row>
    <row s="1657" customFormat="1" customHeight="1" ht="11.549999999999999">
      <c r="A114" s="1003"/>
      <c r="B114" s="1003"/>
      <c r="C114" s="1003"/>
      <c r="D114" s="1003"/>
      <c r="E114" s="1003"/>
      <c r="F114" s="1652"/>
      <c r="G114" s="1652"/>
      <c r="H114" s="367"/>
      <c r="N114" s="1382"/>
      <c r="P114" s="1382"/>
      <c r="Q114" s="1652"/>
      <c r="R114" s="1652"/>
      <c r="S114" s="1382"/>
      <c r="T114" s="1382"/>
      <c r="U114" s="1382"/>
      <c r="V114" s="1382"/>
      <c r="W114" s="1652"/>
      <c r="X114" s="1382"/>
      <c r="Y114" s="1382"/>
      <c r="Z114" s="560"/>
      <c r="AA114" s="1382"/>
      <c r="AB114" s="1382"/>
      <c r="AC114" s="1382"/>
      <c r="AD114" s="1382"/>
      <c r="AE114" s="1382"/>
      <c r="AF114" s="1648"/>
      <c r="AG114" s="638"/>
      <c r="AH114" s="638"/>
      <c r="AI114" s="638"/>
      <c r="AJ114" s="638"/>
      <c r="AK114" s="1657">
        <v>11</v>
      </c>
    </row>
    <row s="1657" customFormat="1" customHeight="1" ht="11.549999999999999">
      <c r="A115" s="1003"/>
      <c r="B115" s="1003"/>
      <c r="C115" s="1003"/>
      <c r="D115" s="1003"/>
      <c r="E115" s="1003"/>
      <c r="F115" s="1652"/>
      <c r="G115" s="1652"/>
      <c r="H115" s="367"/>
      <c r="N115" s="1382"/>
      <c r="P115" s="1382"/>
      <c r="Q115" s="1652"/>
      <c r="R115" s="1652"/>
      <c r="S115" s="1382"/>
      <c r="T115" s="1382"/>
      <c r="U115" s="1382"/>
      <c r="V115" s="1382"/>
      <c r="W115" s="1652"/>
      <c r="X115" s="1382"/>
      <c r="Y115" s="1382"/>
      <c r="Z115" s="560"/>
      <c r="AA115" s="1382"/>
      <c r="AB115" s="1382"/>
      <c r="AC115" s="1382"/>
      <c r="AD115" s="1382"/>
      <c r="AE115" s="1382"/>
      <c r="AF115" s="1648"/>
      <c r="AG115" s="638"/>
      <c r="AH115" s="638"/>
      <c r="AI115" s="638"/>
      <c r="AJ115" s="638"/>
      <c r="AK115" s="1657">
        <v>11</v>
      </c>
    </row>
    <row s="1657" customFormat="1" customHeight="1" ht="11.549999999999999">
      <c r="A116" s="1003"/>
      <c r="B116" s="1003"/>
      <c r="C116" s="1003"/>
      <c r="D116" s="1003"/>
      <c r="E116" s="1003"/>
      <c r="F116" s="1652"/>
      <c r="G116" s="1652"/>
      <c r="H116" s="367"/>
      <c r="N116" s="1382"/>
      <c r="P116" s="1382"/>
      <c r="Q116" s="1652"/>
      <c r="R116" s="1652"/>
      <c r="S116" s="1382"/>
      <c r="T116" s="1382"/>
      <c r="U116" s="1382"/>
      <c r="V116" s="1382"/>
      <c r="W116" s="1652"/>
      <c r="X116" s="1382"/>
      <c r="Y116" s="1382"/>
      <c r="Z116" s="560"/>
      <c r="AA116" s="1382"/>
      <c r="AB116" s="1382"/>
      <c r="AC116" s="1382"/>
      <c r="AD116" s="1382"/>
      <c r="AE116" s="1382"/>
      <c r="AF116" s="1648"/>
      <c r="AG116" s="638"/>
      <c r="AH116" s="638"/>
      <c r="AI116" s="638"/>
      <c r="AJ116" s="638"/>
      <c r="AK116" s="1657">
        <v>11</v>
      </c>
    </row>
    <row s="1657" customFormat="1" customHeight="1" ht="11.549999999999999">
      <c r="A117" s="1003"/>
      <c r="B117" s="1003"/>
      <c r="C117" s="1003"/>
      <c r="D117" s="1003"/>
      <c r="E117" s="1003"/>
      <c r="F117" s="1652"/>
      <c r="G117" s="1652"/>
      <c r="H117" s="367"/>
      <c r="N117" s="1382"/>
      <c r="P117" s="1382"/>
      <c r="Q117" s="1652"/>
      <c r="R117" s="1652"/>
      <c r="S117" s="1382"/>
      <c r="T117" s="1382"/>
      <c r="U117" s="1382"/>
      <c r="V117" s="1382"/>
      <c r="W117" s="1652"/>
      <c r="X117" s="1382"/>
      <c r="Y117" s="1382"/>
      <c r="Z117" s="560"/>
      <c r="AA117" s="1382"/>
      <c r="AB117" s="1382"/>
      <c r="AC117" s="1382"/>
      <c r="AD117" s="1382"/>
      <c r="AE117" s="1382"/>
      <c r="AF117" s="1648"/>
      <c r="AG117" s="638"/>
      <c r="AH117" s="638"/>
      <c r="AI117" s="638"/>
      <c r="AJ117" s="638"/>
      <c r="AK117" s="1657">
        <v>11</v>
      </c>
    </row>
    <row s="1657" customFormat="1" customHeight="1" ht="11.549999999999999">
      <c r="A118" s="1003"/>
      <c r="B118" s="1003"/>
      <c r="C118" s="1003"/>
      <c r="D118" s="1003"/>
      <c r="E118" s="1003"/>
      <c r="F118" s="1652"/>
      <c r="G118" s="1652"/>
      <c r="H118" s="367"/>
      <c r="N118" s="1382"/>
      <c r="P118" s="1382"/>
      <c r="Q118" s="1652"/>
      <c r="R118" s="1652"/>
      <c r="S118" s="1382"/>
      <c r="T118" s="1382"/>
      <c r="U118" s="1382"/>
      <c r="V118" s="1382"/>
      <c r="W118" s="1652"/>
      <c r="X118" s="1382"/>
      <c r="Y118" s="1382"/>
      <c r="Z118" s="560"/>
      <c r="AA118" s="1382"/>
      <c r="AB118" s="1382"/>
      <c r="AC118" s="1382"/>
      <c r="AD118" s="1382"/>
      <c r="AE118" s="1382"/>
      <c r="AF118" s="1648"/>
      <c r="AG118" s="638"/>
      <c r="AH118" s="638"/>
      <c r="AI118" s="638"/>
      <c r="AJ118" s="638"/>
      <c r="AK118" s="1657">
        <v>11</v>
      </c>
    </row>
    <row s="1657" customFormat="1" customHeight="1" ht="11.549999999999999">
      <c r="A119" s="1003"/>
      <c r="B119" s="1003"/>
      <c r="C119" s="1003"/>
      <c r="D119" s="1003"/>
      <c r="E119" s="1003"/>
      <c r="F119" s="1652"/>
      <c r="G119" s="1652"/>
      <c r="H119" s="367"/>
      <c r="N119" s="1382"/>
      <c r="P119" s="1382"/>
      <c r="Q119" s="1652"/>
      <c r="R119" s="1652"/>
      <c r="S119" s="1382"/>
      <c r="T119" s="1382"/>
      <c r="U119" s="1382"/>
      <c r="V119" s="1382"/>
      <c r="W119" s="1652"/>
      <c r="X119" s="1382"/>
      <c r="Y119" s="1382"/>
      <c r="Z119" s="560"/>
      <c r="AA119" s="1382"/>
      <c r="AB119" s="1382"/>
      <c r="AC119" s="1382"/>
      <c r="AD119" s="1382"/>
      <c r="AE119" s="1382"/>
      <c r="AF119" s="1648"/>
      <c r="AG119" s="638"/>
      <c r="AH119" s="638"/>
      <c r="AI119" s="638"/>
      <c r="AJ119" s="638"/>
      <c r="AK119" s="1657">
        <v>11</v>
      </c>
    </row>
    <row s="1657" customFormat="1" customHeight="1" ht="11.549999999999999">
      <c r="A120" s="1003"/>
      <c r="B120" s="1003"/>
      <c r="C120" s="1003"/>
      <c r="D120" s="1003"/>
      <c r="E120" s="1003"/>
      <c r="F120" s="1652"/>
      <c r="G120" s="1652"/>
      <c r="H120" s="367"/>
      <c r="N120" s="1382"/>
      <c r="P120" s="1382"/>
      <c r="Q120" s="1652"/>
      <c r="R120" s="1652"/>
      <c r="S120" s="1382"/>
      <c r="T120" s="1382"/>
      <c r="U120" s="1382"/>
      <c r="V120" s="1382"/>
      <c r="W120" s="1652"/>
      <c r="X120" s="1382"/>
      <c r="Y120" s="1382"/>
      <c r="Z120" s="560"/>
      <c r="AA120" s="1382"/>
      <c r="AB120" s="1382"/>
      <c r="AC120" s="1382"/>
      <c r="AD120" s="1382"/>
      <c r="AE120" s="1382"/>
      <c r="AF120" s="1648"/>
      <c r="AG120" s="638"/>
      <c r="AH120" s="638"/>
      <c r="AI120" s="638"/>
      <c r="AJ120" s="638"/>
      <c r="AK120" s="1657">
        <v>11</v>
      </c>
    </row>
    <row s="1657" customFormat="1" customHeight="1" ht="11.549999999999999">
      <c r="A121" s="1003"/>
      <c r="B121" s="1003"/>
      <c r="C121" s="1003"/>
      <c r="D121" s="1003"/>
      <c r="E121" s="1003"/>
      <c r="F121" s="1652"/>
      <c r="G121" s="1652"/>
      <c r="H121" s="367"/>
      <c r="N121" s="1382"/>
      <c r="P121" s="1382"/>
      <c r="Q121" s="1652"/>
      <c r="R121" s="1652"/>
      <c r="S121" s="1382"/>
      <c r="T121" s="1382"/>
      <c r="U121" s="1382"/>
      <c r="V121" s="1382"/>
      <c r="W121" s="1652"/>
      <c r="X121" s="1382"/>
      <c r="Y121" s="1382"/>
      <c r="Z121" s="560"/>
      <c r="AA121" s="1382"/>
      <c r="AB121" s="1382"/>
      <c r="AC121" s="1382"/>
      <c r="AD121" s="1382"/>
      <c r="AE121" s="1382"/>
      <c r="AF121" s="1648"/>
      <c r="AG121" s="638"/>
      <c r="AH121" s="638"/>
      <c r="AI121" s="638"/>
      <c r="AJ121" s="638"/>
      <c r="AK121" s="1657">
        <v>11</v>
      </c>
    </row>
    <row s="1657" customFormat="1" customHeight="1" ht="11.549999999999999">
      <c r="A122" s="1003"/>
      <c r="B122" s="1003"/>
      <c r="C122" s="1003"/>
      <c r="D122" s="1003"/>
      <c r="E122" s="1003"/>
      <c r="F122" s="1652"/>
      <c r="G122" s="1652"/>
      <c r="H122" s="367"/>
      <c r="N122" s="1382"/>
      <c r="P122" s="1382"/>
      <c r="Q122" s="1652"/>
      <c r="R122" s="1652"/>
      <c r="S122" s="1382"/>
      <c r="T122" s="1382"/>
      <c r="U122" s="1382"/>
      <c r="V122" s="1382"/>
      <c r="W122" s="1652"/>
      <c r="X122" s="1382"/>
      <c r="Y122" s="1382"/>
      <c r="Z122" s="560"/>
      <c r="AA122" s="1382"/>
      <c r="AB122" s="1382"/>
      <c r="AC122" s="1382"/>
      <c r="AD122" s="1382"/>
      <c r="AE122" s="1382"/>
      <c r="AF122" s="1648"/>
      <c r="AG122" s="638"/>
      <c r="AH122" s="638"/>
      <c r="AI122" s="638"/>
      <c r="AJ122" s="638"/>
      <c r="AK122" s="1657">
        <v>11</v>
      </c>
    </row>
    <row s="1657" customFormat="1" customHeight="1" ht="11.549999999999999">
      <c r="A123" s="1003"/>
      <c r="B123" s="1003"/>
      <c r="C123" s="1003"/>
      <c r="D123" s="1003"/>
      <c r="E123" s="1003"/>
      <c r="F123" s="1652"/>
      <c r="G123" s="1652"/>
      <c r="H123" s="367"/>
      <c r="N123" s="1382"/>
      <c r="P123" s="1382"/>
      <c r="Q123" s="1652"/>
      <c r="R123" s="1652"/>
      <c r="S123" s="1382"/>
      <c r="T123" s="1382"/>
      <c r="U123" s="1382"/>
      <c r="V123" s="1382"/>
      <c r="W123" s="1652"/>
      <c r="X123" s="1382"/>
      <c r="Y123" s="1382"/>
      <c r="Z123" s="560"/>
      <c r="AA123" s="1382"/>
      <c r="AB123" s="1382"/>
      <c r="AC123" s="1382"/>
      <c r="AD123" s="1382"/>
      <c r="AE123" s="1382"/>
      <c r="AF123" s="1648"/>
      <c r="AG123" s="638"/>
      <c r="AH123" s="638"/>
      <c r="AI123" s="638"/>
      <c r="AJ123" s="638"/>
      <c r="AK123" s="1657">
        <v>11</v>
      </c>
    </row>
    <row s="1657" customFormat="1" customHeight="1" ht="11.549999999999999">
      <c r="A124" s="1003"/>
      <c r="B124" s="1003"/>
      <c r="C124" s="1003"/>
      <c r="D124" s="1003"/>
      <c r="E124" s="1003"/>
      <c r="F124" s="1652"/>
      <c r="G124" s="1652"/>
      <c r="H124" s="367"/>
      <c r="N124" s="1382"/>
      <c r="P124" s="1382"/>
      <c r="Q124" s="1652"/>
      <c r="R124" s="1652"/>
      <c r="S124" s="1382"/>
      <c r="T124" s="1382"/>
      <c r="U124" s="1382"/>
      <c r="V124" s="1382"/>
      <c r="W124" s="1652"/>
      <c r="X124" s="1382"/>
      <c r="Y124" s="1382"/>
      <c r="Z124" s="560"/>
      <c r="AA124" s="1382"/>
      <c r="AB124" s="1382"/>
      <c r="AC124" s="1382"/>
      <c r="AD124" s="1382"/>
      <c r="AE124" s="1382"/>
      <c r="AF124" s="1648"/>
      <c r="AG124" s="638"/>
      <c r="AH124" s="638"/>
      <c r="AI124" s="638"/>
      <c r="AJ124" s="638"/>
      <c r="AK124" s="1657">
        <v>11</v>
      </c>
    </row>
    <row s="1657" customFormat="1" customHeight="1" ht="11.549999999999999">
      <c r="A125" s="1003"/>
      <c r="B125" s="1003"/>
      <c r="C125" s="1003"/>
      <c r="D125" s="1003"/>
      <c r="E125" s="1003"/>
      <c r="F125" s="1652"/>
      <c r="G125" s="1652"/>
      <c r="H125" s="367"/>
      <c r="N125" s="1382"/>
      <c r="P125" s="1382"/>
      <c r="Q125" s="1652"/>
      <c r="R125" s="1652"/>
      <c r="S125" s="1382"/>
      <c r="T125" s="1382"/>
      <c r="U125" s="1382"/>
      <c r="V125" s="1382"/>
      <c r="W125" s="1652"/>
      <c r="X125" s="1382"/>
      <c r="Y125" s="1382"/>
      <c r="Z125" s="560"/>
      <c r="AA125" s="1382"/>
      <c r="AB125" s="1382"/>
      <c r="AC125" s="1382"/>
      <c r="AD125" s="1382"/>
      <c r="AE125" s="1382"/>
      <c r="AF125" s="1648"/>
      <c r="AG125" s="638"/>
      <c r="AH125" s="638"/>
      <c r="AI125" s="638"/>
      <c r="AJ125" s="638"/>
      <c r="AK125" s="1657">
        <v>11</v>
      </c>
    </row>
    <row s="1657" customFormat="1" customHeight="1" ht="11.549999999999999">
      <c r="A126" s="1003"/>
      <c r="B126" s="1003"/>
      <c r="C126" s="1003"/>
      <c r="D126" s="1003"/>
      <c r="E126" s="1003"/>
      <c r="F126" s="1652"/>
      <c r="G126" s="1652"/>
      <c r="H126" s="367"/>
      <c r="N126" s="1382"/>
      <c r="P126" s="1382"/>
      <c r="Q126" s="1652"/>
      <c r="R126" s="1652"/>
      <c r="S126" s="1382"/>
      <c r="T126" s="1382"/>
      <c r="U126" s="1382"/>
      <c r="V126" s="1382"/>
      <c r="W126" s="1652"/>
      <c r="X126" s="1382"/>
      <c r="Y126" s="1382"/>
      <c r="Z126" s="560"/>
      <c r="AA126" s="1382"/>
      <c r="AB126" s="1382"/>
      <c r="AC126" s="1382"/>
      <c r="AD126" s="1382"/>
      <c r="AE126" s="1382"/>
      <c r="AF126" s="1648"/>
      <c r="AG126" s="638"/>
      <c r="AH126" s="638"/>
      <c r="AI126" s="638"/>
      <c r="AJ126" s="638"/>
      <c r="AK126" s="1657">
        <v>11</v>
      </c>
    </row>
    <row s="1657" customFormat="1" customHeight="1" ht="11.549999999999999">
      <c r="A127" s="1003"/>
      <c r="B127" s="1003"/>
      <c r="C127" s="1003"/>
      <c r="D127" s="1003"/>
      <c r="E127" s="1003"/>
      <c r="F127" s="1652"/>
      <c r="G127" s="1652"/>
      <c r="H127" s="367"/>
      <c r="N127" s="1382"/>
      <c r="P127" s="1382"/>
      <c r="Q127" s="1652"/>
      <c r="R127" s="1652"/>
      <c r="S127" s="1382"/>
      <c r="T127" s="1382"/>
      <c r="U127" s="1382"/>
      <c r="V127" s="1382"/>
      <c r="W127" s="1652"/>
      <c r="X127" s="1382"/>
      <c r="Y127" s="1382"/>
      <c r="Z127" s="560"/>
      <c r="AA127" s="1382"/>
      <c r="AB127" s="1382"/>
      <c r="AC127" s="1382"/>
      <c r="AD127" s="1382"/>
      <c r="AE127" s="1382"/>
      <c r="AF127" s="1648"/>
      <c r="AG127" s="638"/>
      <c r="AH127" s="638"/>
      <c r="AI127" s="638"/>
      <c r="AJ127" s="638"/>
      <c r="AK127" s="1657">
        <v>11</v>
      </c>
    </row>
    <row s="1657" customFormat="1" customHeight="1" ht="11.549999999999999">
      <c r="A128" s="1003"/>
      <c r="B128" s="1003"/>
      <c r="C128" s="1003"/>
      <c r="D128" s="1003"/>
      <c r="E128" s="1003"/>
      <c r="F128" s="1652"/>
      <c r="G128" s="1652"/>
      <c r="H128" s="367"/>
      <c r="N128" s="1382"/>
      <c r="P128" s="1382"/>
      <c r="Q128" s="1652"/>
      <c r="R128" s="1652"/>
      <c r="S128" s="1382"/>
      <c r="T128" s="1382"/>
      <c r="U128" s="1382"/>
      <c r="V128" s="1382"/>
      <c r="W128" s="1652"/>
      <c r="X128" s="1382"/>
      <c r="Y128" s="1382"/>
      <c r="Z128" s="560"/>
      <c r="AA128" s="1382"/>
      <c r="AB128" s="1382"/>
      <c r="AC128" s="1382"/>
      <c r="AD128" s="1382"/>
      <c r="AE128" s="1382"/>
      <c r="AF128" s="1648"/>
      <c r="AG128" s="638"/>
      <c r="AH128" s="638"/>
      <c r="AI128" s="638"/>
      <c r="AJ128" s="638"/>
      <c r="AK128" s="1657">
        <v>11</v>
      </c>
    </row>
    <row s="1657" customFormat="1" customHeight="1" ht="11.549999999999999">
      <c r="A129" s="1003"/>
      <c r="B129" s="1003"/>
      <c r="C129" s="1003"/>
      <c r="D129" s="1003"/>
      <c r="E129" s="1003"/>
      <c r="F129" s="1652"/>
      <c r="G129" s="1652"/>
      <c r="H129" s="367"/>
      <c r="N129" s="1382"/>
      <c r="P129" s="1382"/>
      <c r="Q129" s="1652"/>
      <c r="R129" s="1652"/>
      <c r="S129" s="1382"/>
      <c r="T129" s="1382"/>
      <c r="U129" s="1382"/>
      <c r="V129" s="1382"/>
      <c r="W129" s="1652"/>
      <c r="X129" s="1382"/>
      <c r="Y129" s="1382"/>
      <c r="Z129" s="560"/>
      <c r="AA129" s="1382"/>
      <c r="AB129" s="1382"/>
      <c r="AC129" s="1382"/>
      <c r="AD129" s="1382"/>
      <c r="AE129" s="1382"/>
      <c r="AF129" s="1648"/>
      <c r="AG129" s="638"/>
      <c r="AH129" s="638"/>
      <c r="AI129" s="638"/>
      <c r="AJ129" s="638"/>
      <c r="AK129" s="1657">
        <v>11</v>
      </c>
    </row>
    <row s="1657" customFormat="1" customHeight="1" ht="11.549999999999999">
      <c r="A130" s="1003"/>
      <c r="B130" s="1003"/>
      <c r="C130" s="1003"/>
      <c r="D130" s="1003"/>
      <c r="E130" s="1003"/>
      <c r="F130" s="1652"/>
      <c r="G130" s="1652"/>
      <c r="H130" s="367"/>
      <c r="N130" s="1382"/>
      <c r="P130" s="1382"/>
      <c r="Q130" s="1652"/>
      <c r="R130" s="1652"/>
      <c r="S130" s="1382"/>
      <c r="T130" s="1382"/>
      <c r="U130" s="1382"/>
      <c r="V130" s="1382"/>
      <c r="W130" s="1652"/>
      <c r="X130" s="1382"/>
      <c r="Y130" s="1382"/>
      <c r="Z130" s="560"/>
      <c r="AA130" s="1382"/>
      <c r="AB130" s="1382"/>
      <c r="AC130" s="1382"/>
      <c r="AD130" s="1382"/>
      <c r="AE130" s="1382"/>
      <c r="AF130" s="1648"/>
      <c r="AG130" s="638"/>
      <c r="AH130" s="638"/>
      <c r="AI130" s="638"/>
      <c r="AJ130" s="638"/>
      <c r="AK130" s="1657">
        <v>11</v>
      </c>
    </row>
    <row s="1657" customFormat="1" customHeight="1" ht="11.549999999999999">
      <c r="A131" s="1003"/>
      <c r="B131" s="1003"/>
      <c r="C131" s="1003"/>
      <c r="D131" s="1003"/>
      <c r="E131" s="1003"/>
      <c r="F131" s="1652"/>
      <c r="G131" s="1652"/>
      <c r="H131" s="367"/>
      <c r="N131" s="1382"/>
      <c r="P131" s="1382"/>
      <c r="Q131" s="1652"/>
      <c r="R131" s="1652"/>
      <c r="S131" s="1382"/>
      <c r="T131" s="1382"/>
      <c r="U131" s="1382"/>
      <c r="V131" s="1382"/>
      <c r="W131" s="1652"/>
      <c r="X131" s="1382"/>
      <c r="Y131" s="1382"/>
      <c r="Z131" s="560"/>
      <c r="AA131" s="1382"/>
      <c r="AB131" s="1382"/>
      <c r="AC131" s="1382"/>
      <c r="AD131" s="1382"/>
      <c r="AE131" s="1382"/>
      <c r="AF131" s="1648"/>
      <c r="AG131" s="638"/>
      <c r="AH131" s="638"/>
      <c r="AI131" s="638"/>
      <c r="AJ131" s="638"/>
      <c r="AK131" s="1657">
        <v>11</v>
      </c>
    </row>
    <row s="1657" customFormat="1" customHeight="1" ht="11.549999999999999">
      <c r="A132" s="1003"/>
      <c r="B132" s="1003"/>
      <c r="C132" s="1003"/>
      <c r="D132" s="1003"/>
      <c r="E132" s="1003"/>
      <c r="F132" s="1652"/>
      <c r="G132" s="1652"/>
      <c r="H132" s="367"/>
      <c r="N132" s="1382"/>
      <c r="P132" s="1382"/>
      <c r="Q132" s="1652"/>
      <c r="R132" s="1652"/>
      <c r="S132" s="1382"/>
      <c r="T132" s="1382"/>
      <c r="U132" s="1382"/>
      <c r="V132" s="1382"/>
      <c r="W132" s="1652"/>
      <c r="X132" s="1382"/>
      <c r="Y132" s="1382"/>
      <c r="Z132" s="560"/>
      <c r="AA132" s="1382"/>
      <c r="AB132" s="1382"/>
      <c r="AC132" s="1382"/>
      <c r="AD132" s="1382"/>
      <c r="AE132" s="1382"/>
      <c r="AF132" s="1648"/>
      <c r="AG132" s="638"/>
      <c r="AH132" s="638"/>
      <c r="AI132" s="638"/>
      <c r="AJ132" s="638"/>
      <c r="AK132" s="1657">
        <v>11</v>
      </c>
    </row>
    <row s="1657" customFormat="1" customHeight="1" ht="11.549999999999999">
      <c r="A133" s="1003"/>
      <c r="B133" s="1003"/>
      <c r="C133" s="1003"/>
      <c r="D133" s="1003"/>
      <c r="E133" s="1003"/>
      <c r="F133" s="1652"/>
      <c r="G133" s="1652"/>
      <c r="H133" s="367"/>
      <c r="N133" s="1382"/>
      <c r="P133" s="1382"/>
      <c r="Q133" s="1652"/>
      <c r="R133" s="1652"/>
      <c r="S133" s="1382"/>
      <c r="T133" s="1382"/>
      <c r="U133" s="1382"/>
      <c r="V133" s="1382"/>
      <c r="W133" s="1652"/>
      <c r="X133" s="1382"/>
      <c r="Y133" s="1382"/>
      <c r="Z133" s="560"/>
      <c r="AA133" s="1382"/>
      <c r="AB133" s="1382"/>
      <c r="AC133" s="1382"/>
      <c r="AD133" s="1382"/>
      <c r="AE133" s="1382"/>
      <c r="AF133" s="1648"/>
      <c r="AG133" s="638"/>
      <c r="AH133" s="638"/>
      <c r="AI133" s="638"/>
      <c r="AJ133" s="638"/>
      <c r="AK133" s="1657">
        <v>11</v>
      </c>
    </row>
    <row s="1657" customFormat="1" customHeight="1" ht="11.549999999999999">
      <c r="A134" s="1003"/>
      <c r="B134" s="1003"/>
      <c r="C134" s="1003"/>
      <c r="D134" s="1003"/>
      <c r="E134" s="1003"/>
      <c r="F134" s="1652"/>
      <c r="G134" s="1652"/>
      <c r="H134" s="367"/>
      <c r="N134" s="1382"/>
      <c r="P134" s="1382"/>
      <c r="Q134" s="1652"/>
      <c r="R134" s="1652"/>
      <c r="S134" s="1382"/>
      <c r="T134" s="1382"/>
      <c r="U134" s="1382"/>
      <c r="V134" s="1382"/>
      <c r="W134" s="1652"/>
      <c r="X134" s="1382"/>
      <c r="Y134" s="1382"/>
      <c r="Z134" s="560"/>
      <c r="AA134" s="1382"/>
      <c r="AB134" s="1382"/>
      <c r="AC134" s="1382"/>
      <c r="AD134" s="1382"/>
      <c r="AE134" s="1382"/>
      <c r="AF134" s="1648"/>
      <c r="AG134" s="638"/>
      <c r="AH134" s="638"/>
      <c r="AI134" s="638"/>
      <c r="AJ134" s="638"/>
      <c r="AK134" s="1657">
        <v>11</v>
      </c>
    </row>
    <row s="1657" customFormat="1" customHeight="1" ht="11.549999999999999">
      <c r="A135" s="1003"/>
      <c r="B135" s="1003"/>
      <c r="C135" s="1003"/>
      <c r="D135" s="1003"/>
      <c r="E135" s="1003"/>
      <c r="F135" s="1652"/>
      <c r="G135" s="1652"/>
      <c r="H135" s="367"/>
      <c r="N135" s="1382"/>
      <c r="P135" s="1382"/>
      <c r="Q135" s="1652"/>
      <c r="R135" s="1652"/>
      <c r="S135" s="1382"/>
      <c r="T135" s="1382"/>
      <c r="U135" s="1382"/>
      <c r="V135" s="1382"/>
      <c r="W135" s="1652"/>
      <c r="X135" s="1382"/>
      <c r="Y135" s="1382"/>
      <c r="Z135" s="560"/>
      <c r="AA135" s="1382"/>
      <c r="AB135" s="1382"/>
      <c r="AC135" s="1382"/>
      <c r="AD135" s="1382"/>
      <c r="AE135" s="1382"/>
      <c r="AF135" s="1648"/>
      <c r="AG135" s="638"/>
      <c r="AH135" s="638"/>
      <c r="AI135" s="638"/>
      <c r="AJ135" s="638"/>
      <c r="AK135" s="1657">
        <v>11</v>
      </c>
    </row>
    <row s="1657" customFormat="1" customHeight="1" ht="11.549999999999999">
      <c r="A136" s="1003"/>
      <c r="B136" s="1003"/>
      <c r="C136" s="1003"/>
      <c r="D136" s="1003"/>
      <c r="E136" s="1003"/>
      <c r="F136" s="1652"/>
      <c r="G136" s="1652"/>
      <c r="H136" s="367"/>
      <c r="N136" s="1382"/>
      <c r="P136" s="1382"/>
      <c r="Q136" s="1652"/>
      <c r="R136" s="1652"/>
      <c r="S136" s="1382"/>
      <c r="T136" s="1382"/>
      <c r="U136" s="1382"/>
      <c r="V136" s="1382"/>
      <c r="W136" s="1652"/>
      <c r="X136" s="1382"/>
      <c r="Y136" s="1382"/>
      <c r="Z136" s="560"/>
      <c r="AA136" s="1382"/>
      <c r="AB136" s="1382"/>
      <c r="AC136" s="1382"/>
      <c r="AD136" s="1382"/>
      <c r="AE136" s="1382"/>
      <c r="AF136" s="1648"/>
      <c r="AG136" s="638"/>
      <c r="AH136" s="638"/>
      <c r="AI136" s="638"/>
      <c r="AJ136" s="638"/>
      <c r="AK136" s="1657">
        <v>11</v>
      </c>
    </row>
    <row s="1657" customFormat="1" customHeight="1" ht="11.549999999999999">
      <c r="A137" s="1003"/>
      <c r="B137" s="1003"/>
      <c r="C137" s="1003"/>
      <c r="D137" s="1003"/>
      <c r="E137" s="1003"/>
      <c r="F137" s="1652"/>
      <c r="G137" s="1652"/>
      <c r="H137" s="367"/>
      <c r="N137" s="1382"/>
      <c r="P137" s="1382"/>
      <c r="Q137" s="1652"/>
      <c r="R137" s="1652"/>
      <c r="S137" s="1382"/>
      <c r="T137" s="1382"/>
      <c r="U137" s="1382"/>
      <c r="V137" s="1382"/>
      <c r="W137" s="1652"/>
      <c r="X137" s="1382"/>
      <c r="Y137" s="1382"/>
      <c r="Z137" s="560"/>
      <c r="AA137" s="1382"/>
      <c r="AB137" s="1382"/>
      <c r="AC137" s="1382"/>
      <c r="AD137" s="1382"/>
      <c r="AE137" s="1382"/>
      <c r="AF137" s="1648"/>
      <c r="AG137" s="638"/>
      <c r="AH137" s="638"/>
      <c r="AI137" s="638"/>
      <c r="AJ137" s="638"/>
      <c r="AK137" s="1657">
        <v>11</v>
      </c>
    </row>
    <row s="1657" customFormat="1" customHeight="1" ht="11.549999999999999">
      <c r="A138" s="1003"/>
      <c r="B138" s="1003"/>
      <c r="C138" s="1003"/>
      <c r="D138" s="1003"/>
      <c r="E138" s="1003"/>
      <c r="F138" s="1652"/>
      <c r="G138" s="1652"/>
      <c r="H138" s="367"/>
      <c r="N138" s="1382"/>
      <c r="P138" s="1382"/>
      <c r="Q138" s="1652"/>
      <c r="R138" s="1652"/>
      <c r="S138" s="1382"/>
      <c r="T138" s="1382"/>
      <c r="U138" s="1382"/>
      <c r="V138" s="1382"/>
      <c r="W138" s="1652"/>
      <c r="X138" s="1382"/>
      <c r="Y138" s="1382"/>
      <c r="Z138" s="560"/>
      <c r="AA138" s="1382"/>
      <c r="AB138" s="1382"/>
      <c r="AC138" s="1382"/>
      <c r="AD138" s="1382"/>
      <c r="AE138" s="1382"/>
      <c r="AF138" s="1648"/>
      <c r="AG138" s="638"/>
      <c r="AH138" s="638"/>
      <c r="AI138" s="638"/>
      <c r="AJ138" s="638"/>
      <c r="AK138" s="1657">
        <v>11</v>
      </c>
    </row>
    <row s="1657" customFormat="1" customHeight="1" ht="11.549999999999999">
      <c r="A139" s="1003"/>
      <c r="B139" s="1003"/>
      <c r="C139" s="1003"/>
      <c r="D139" s="1003"/>
      <c r="E139" s="1003"/>
      <c r="F139" s="1652"/>
      <c r="G139" s="1652"/>
      <c r="H139" s="367"/>
      <c r="N139" s="1382"/>
      <c r="P139" s="1382"/>
      <c r="Q139" s="1652"/>
      <c r="R139" s="1652"/>
      <c r="S139" s="1382"/>
      <c r="T139" s="1382"/>
      <c r="U139" s="1382"/>
      <c r="V139" s="1382"/>
      <c r="W139" s="1652"/>
      <c r="X139" s="1382"/>
      <c r="Y139" s="1382"/>
      <c r="Z139" s="560"/>
      <c r="AA139" s="1382"/>
      <c r="AB139" s="1382"/>
      <c r="AC139" s="1382"/>
      <c r="AD139" s="1382"/>
      <c r="AE139" s="1382"/>
      <c r="AF139" s="1648"/>
      <c r="AG139" s="638"/>
      <c r="AH139" s="638"/>
      <c r="AI139" s="638"/>
      <c r="AJ139" s="638"/>
      <c r="AK139" s="1657">
        <v>11</v>
      </c>
    </row>
    <row s="1657" customFormat="1" customHeight="1" ht="11.549999999999999">
      <c r="A140" s="1003"/>
      <c r="B140" s="1003"/>
      <c r="C140" s="1003"/>
      <c r="D140" s="1003"/>
      <c r="E140" s="1003"/>
      <c r="F140" s="1652"/>
      <c r="G140" s="1652"/>
      <c r="H140" s="367"/>
      <c r="N140" s="1382"/>
      <c r="P140" s="1382"/>
      <c r="Q140" s="1652"/>
      <c r="R140" s="1652"/>
      <c r="S140" s="1382"/>
      <c r="T140" s="1382"/>
      <c r="U140" s="1382"/>
      <c r="V140" s="1382"/>
      <c r="W140" s="1652"/>
      <c r="X140" s="1382"/>
      <c r="Y140" s="1382"/>
      <c r="Z140" s="560"/>
      <c r="AA140" s="1382"/>
      <c r="AB140" s="1382"/>
      <c r="AC140" s="1382"/>
      <c r="AD140" s="1382"/>
      <c r="AE140" s="1382"/>
      <c r="AF140" s="1648"/>
      <c r="AG140" s="638"/>
      <c r="AH140" s="638"/>
      <c r="AI140" s="638"/>
      <c r="AJ140" s="638"/>
      <c r="AK140" s="1657">
        <v>11</v>
      </c>
    </row>
    <row s="1657" customFormat="1" customHeight="1" ht="11.549999999999999">
      <c r="A141" s="1003"/>
      <c r="B141" s="1003"/>
      <c r="C141" s="1003"/>
      <c r="D141" s="1003"/>
      <c r="E141" s="1003"/>
      <c r="F141" s="1652"/>
      <c r="G141" s="1652"/>
      <c r="H141" s="367"/>
      <c r="N141" s="1382"/>
      <c r="P141" s="1382"/>
      <c r="Q141" s="1652"/>
      <c r="R141" s="1652"/>
      <c r="S141" s="1382"/>
      <c r="T141" s="1382"/>
      <c r="U141" s="1382"/>
      <c r="V141" s="1382"/>
      <c r="W141" s="1652"/>
      <c r="X141" s="1382"/>
      <c r="Y141" s="1382"/>
      <c r="Z141" s="560"/>
      <c r="AA141" s="1382"/>
      <c r="AB141" s="1382"/>
      <c r="AC141" s="1382"/>
      <c r="AD141" s="1382"/>
      <c r="AE141" s="1382"/>
      <c r="AF141" s="1648"/>
      <c r="AG141" s="638"/>
      <c r="AH141" s="638"/>
      <c r="AI141" s="638"/>
      <c r="AJ141" s="638"/>
      <c r="AK141" s="1657">
        <v>11</v>
      </c>
    </row>
    <row s="1657" customFormat="1" customHeight="1" ht="11.549999999999999">
      <c r="A142" s="1003"/>
      <c r="B142" s="1003"/>
      <c r="C142" s="1003"/>
      <c r="D142" s="1003"/>
      <c r="E142" s="1003"/>
      <c r="F142" s="1652"/>
      <c r="G142" s="1652"/>
      <c r="H142" s="367"/>
      <c r="N142" s="1382"/>
      <c r="P142" s="1382"/>
      <c r="Q142" s="1652"/>
      <c r="R142" s="1652"/>
      <c r="S142" s="1382"/>
      <c r="T142" s="1382"/>
      <c r="U142" s="1382"/>
      <c r="V142" s="1382"/>
      <c r="W142" s="1652"/>
      <c r="X142" s="1382"/>
      <c r="Y142" s="1382"/>
      <c r="Z142" s="560"/>
      <c r="AA142" s="1382"/>
      <c r="AB142" s="1382"/>
      <c r="AC142" s="1382"/>
      <c r="AD142" s="1382"/>
      <c r="AE142" s="1382"/>
      <c r="AF142" s="1648"/>
      <c r="AG142" s="638"/>
      <c r="AH142" s="638"/>
      <c r="AI142" s="638"/>
      <c r="AJ142" s="638"/>
      <c r="AK142" s="1657">
        <v>11</v>
      </c>
    </row>
    <row s="1657" customFormat="1" customHeight="1" ht="11.549999999999999">
      <c r="A143" s="1003"/>
      <c r="B143" s="1003"/>
      <c r="C143" s="1003"/>
      <c r="D143" s="1003"/>
      <c r="E143" s="1003"/>
      <c r="F143" s="1652"/>
      <c r="G143" s="1652"/>
      <c r="H143" s="367"/>
      <c r="N143" s="1382"/>
      <c r="P143" s="1382"/>
      <c r="Q143" s="1652"/>
      <c r="R143" s="1652"/>
      <c r="S143" s="1382"/>
      <c r="T143" s="1382"/>
      <c r="U143" s="1382"/>
      <c r="V143" s="1382"/>
      <c r="W143" s="1652"/>
      <c r="X143" s="1382"/>
      <c r="Y143" s="1382"/>
      <c r="Z143" s="560"/>
      <c r="AA143" s="1382"/>
      <c r="AB143" s="1382"/>
      <c r="AC143" s="1382"/>
      <c r="AD143" s="1382"/>
      <c r="AE143" s="1382"/>
      <c r="AF143" s="1648"/>
      <c r="AG143" s="638"/>
      <c r="AH143" s="638"/>
      <c r="AI143" s="638"/>
      <c r="AJ143" s="638"/>
      <c r="AK143" s="1657">
        <v>11</v>
      </c>
    </row>
    <row s="1657" customFormat="1" customHeight="1" ht="11.549999999999999">
      <c r="A144" s="1003"/>
      <c r="B144" s="1003"/>
      <c r="C144" s="1003"/>
      <c r="D144" s="1003"/>
      <c r="E144" s="1003"/>
      <c r="F144" s="1652"/>
      <c r="G144" s="1652"/>
      <c r="H144" s="367"/>
      <c r="N144" s="1382"/>
      <c r="P144" s="1382"/>
      <c r="Q144" s="1652"/>
      <c r="R144" s="1652"/>
      <c r="S144" s="1382"/>
      <c r="T144" s="1382"/>
      <c r="U144" s="1382"/>
      <c r="V144" s="1382"/>
      <c r="W144" s="1652"/>
      <c r="X144" s="1382"/>
      <c r="Y144" s="1382"/>
      <c r="Z144" s="560"/>
      <c r="AA144" s="1382"/>
      <c r="AB144" s="1382"/>
      <c r="AC144" s="1382"/>
      <c r="AD144" s="1382"/>
      <c r="AE144" s="1382"/>
      <c r="AF144" s="1648"/>
      <c r="AG144" s="638"/>
      <c r="AH144" s="638"/>
      <c r="AI144" s="638"/>
      <c r="AJ144" s="638"/>
      <c r="AK144" s="1657">
        <v>11</v>
      </c>
    </row>
    <row s="1657" customFormat="1" customHeight="1" ht="11.549999999999999">
      <c r="A145" s="1003"/>
      <c r="B145" s="1003"/>
      <c r="C145" s="1003"/>
      <c r="D145" s="1003"/>
      <c r="E145" s="1003"/>
      <c r="F145" s="1652"/>
      <c r="G145" s="1652"/>
      <c r="H145" s="367"/>
      <c r="N145" s="1382"/>
      <c r="P145" s="1382"/>
      <c r="Q145" s="1652"/>
      <c r="R145" s="1652"/>
      <c r="S145" s="1382"/>
      <c r="T145" s="1382"/>
      <c r="U145" s="1382"/>
      <c r="V145" s="1382"/>
      <c r="W145" s="1652"/>
      <c r="X145" s="1382"/>
      <c r="Y145" s="1382"/>
      <c r="Z145" s="560"/>
      <c r="AA145" s="1382"/>
      <c r="AB145" s="1382"/>
      <c r="AC145" s="1382"/>
      <c r="AD145" s="1382"/>
      <c r="AE145" s="1382"/>
      <c r="AF145" s="1648"/>
      <c r="AG145" s="638"/>
      <c r="AH145" s="638"/>
      <c r="AI145" s="638"/>
      <c r="AJ145" s="638"/>
      <c r="AK145" s="1657">
        <v>11</v>
      </c>
    </row>
    <row s="1657" customFormat="1" customHeight="1" ht="11.549999999999999">
      <c r="A146" s="1003"/>
      <c r="B146" s="1003"/>
      <c r="C146" s="1003"/>
      <c r="D146" s="1003"/>
      <c r="E146" s="1003"/>
      <c r="F146" s="1652"/>
      <c r="G146" s="1652"/>
      <c r="H146" s="367"/>
      <c r="N146" s="1382"/>
      <c r="P146" s="1382"/>
      <c r="Q146" s="1652"/>
      <c r="R146" s="1652"/>
      <c r="S146" s="1382"/>
      <c r="T146" s="1382"/>
      <c r="U146" s="1382"/>
      <c r="V146" s="1382"/>
      <c r="W146" s="1652"/>
      <c r="X146" s="1382"/>
      <c r="Y146" s="1382"/>
      <c r="Z146" s="560"/>
      <c r="AA146" s="1382"/>
      <c r="AB146" s="1382"/>
      <c r="AC146" s="1382"/>
      <c r="AD146" s="1382"/>
      <c r="AE146" s="1382"/>
      <c r="AF146" s="1648"/>
      <c r="AG146" s="638"/>
      <c r="AH146" s="638"/>
      <c r="AI146" s="638"/>
      <c r="AJ146" s="638"/>
      <c r="AK146" s="1657">
        <v>11</v>
      </c>
    </row>
    <row s="1657" customFormat="1" customHeight="1" ht="11.549999999999999">
      <c r="A147" s="1003"/>
      <c r="B147" s="1003"/>
      <c r="C147" s="1003"/>
      <c r="D147" s="1003"/>
      <c r="E147" s="1003"/>
      <c r="F147" s="1652"/>
      <c r="G147" s="1652"/>
      <c r="H147" s="367"/>
      <c r="N147" s="1382"/>
      <c r="P147" s="1382"/>
      <c r="Q147" s="1652"/>
      <c r="R147" s="1652"/>
      <c r="S147" s="1382"/>
      <c r="T147" s="1382"/>
      <c r="U147" s="1382"/>
      <c r="V147" s="1382"/>
      <c r="W147" s="1652"/>
      <c r="X147" s="1382"/>
      <c r="Y147" s="1382"/>
      <c r="Z147" s="560"/>
      <c r="AA147" s="1382"/>
      <c r="AB147" s="1382"/>
      <c r="AC147" s="1382"/>
      <c r="AD147" s="1382"/>
      <c r="AE147" s="1382"/>
      <c r="AF147" s="1648"/>
      <c r="AG147" s="638"/>
      <c r="AH147" s="638"/>
      <c r="AI147" s="638"/>
      <c r="AJ147" s="638"/>
      <c r="AK147" s="1657">
        <v>11</v>
      </c>
    </row>
    <row s="1657" customFormat="1" customHeight="1" ht="11.549999999999999">
      <c r="A148" s="1003"/>
      <c r="B148" s="1003"/>
      <c r="C148" s="1003"/>
      <c r="D148" s="1003"/>
      <c r="E148" s="1003"/>
      <c r="F148" s="1652"/>
      <c r="G148" s="1652"/>
      <c r="H148" s="367"/>
      <c r="N148" s="1382"/>
      <c r="P148" s="1382"/>
      <c r="Q148" s="1652"/>
      <c r="R148" s="1652"/>
      <c r="S148" s="1382"/>
      <c r="T148" s="1382"/>
      <c r="U148" s="1382"/>
      <c r="V148" s="1382"/>
      <c r="W148" s="1652"/>
      <c r="X148" s="1382"/>
      <c r="Y148" s="1382"/>
      <c r="Z148" s="560"/>
      <c r="AA148" s="1382"/>
      <c r="AB148" s="1382"/>
      <c r="AC148" s="1382"/>
      <c r="AD148" s="1382"/>
      <c r="AE148" s="1382"/>
      <c r="AF148" s="1648"/>
      <c r="AG148" s="638"/>
      <c r="AH148" s="638"/>
      <c r="AI148" s="638"/>
      <c r="AJ148" s="638"/>
      <c r="AK148" s="1657">
        <v>11</v>
      </c>
    </row>
    <row s="1657" customFormat="1" customHeight="1" ht="11.549999999999999">
      <c r="A149" s="1003"/>
      <c r="B149" s="1003"/>
      <c r="C149" s="1003"/>
      <c r="D149" s="1003"/>
      <c r="E149" s="1003"/>
      <c r="F149" s="1652"/>
      <c r="G149" s="1652"/>
      <c r="H149" s="367"/>
      <c r="N149" s="1382"/>
      <c r="P149" s="1382"/>
      <c r="Q149" s="1652"/>
      <c r="R149" s="1652"/>
      <c r="S149" s="1382"/>
      <c r="T149" s="1382"/>
      <c r="U149" s="1382"/>
      <c r="V149" s="1382"/>
      <c r="W149" s="1652"/>
      <c r="X149" s="1382"/>
      <c r="Y149" s="1382"/>
      <c r="Z149" s="560"/>
      <c r="AA149" s="1382"/>
      <c r="AB149" s="1382"/>
      <c r="AC149" s="1382"/>
      <c r="AD149" s="1382"/>
      <c r="AE149" s="1382"/>
      <c r="AF149" s="1648"/>
      <c r="AG149" s="638"/>
      <c r="AH149" s="638"/>
      <c r="AI149" s="638"/>
      <c r="AJ149" s="638"/>
      <c r="AK149" s="1657">
        <v>11</v>
      </c>
    </row>
    <row s="1657" customFormat="1" customHeight="1" ht="11.549999999999999">
      <c r="A150" s="1003"/>
      <c r="B150" s="1003"/>
      <c r="C150" s="1003"/>
      <c r="D150" s="1003"/>
      <c r="E150" s="1003"/>
      <c r="F150" s="1652"/>
      <c r="G150" s="1652"/>
      <c r="H150" s="367"/>
      <c r="N150" s="1382"/>
      <c r="P150" s="1382"/>
      <c r="Q150" s="1652"/>
      <c r="R150" s="1652"/>
      <c r="S150" s="1382"/>
      <c r="T150" s="1382"/>
      <c r="U150" s="1382"/>
      <c r="V150" s="1382"/>
      <c r="W150" s="1652"/>
      <c r="X150" s="1382"/>
      <c r="Y150" s="1382"/>
      <c r="Z150" s="560"/>
      <c r="AA150" s="1382"/>
      <c r="AB150" s="1382"/>
      <c r="AC150" s="1382"/>
      <c r="AD150" s="1382"/>
      <c r="AE150" s="1382"/>
      <c r="AF150" s="1648"/>
      <c r="AG150" s="638"/>
      <c r="AH150" s="638"/>
      <c r="AI150" s="638"/>
      <c r="AJ150" s="638"/>
      <c r="AK150" s="1657">
        <v>11</v>
      </c>
    </row>
    <row s="1657" customFormat="1" customHeight="1" ht="11.549999999999999">
      <c r="A151" s="1003"/>
      <c r="B151" s="1003"/>
      <c r="C151" s="1003"/>
      <c r="D151" s="1003"/>
      <c r="E151" s="1003"/>
      <c r="F151" s="1652"/>
      <c r="G151" s="1652"/>
      <c r="H151" s="367"/>
      <c r="N151" s="1382"/>
      <c r="P151" s="1382"/>
      <c r="Q151" s="1652"/>
      <c r="R151" s="1652"/>
      <c r="S151" s="1382"/>
      <c r="T151" s="1382"/>
      <c r="U151" s="1382"/>
      <c r="V151" s="1382"/>
      <c r="W151" s="1652"/>
      <c r="X151" s="1382"/>
      <c r="Y151" s="1382"/>
      <c r="Z151" s="560"/>
      <c r="AA151" s="1382"/>
      <c r="AB151" s="1382"/>
      <c r="AC151" s="1382"/>
      <c r="AD151" s="1382"/>
      <c r="AE151" s="1382"/>
      <c r="AF151" s="1648"/>
      <c r="AG151" s="638"/>
      <c r="AH151" s="638"/>
      <c r="AI151" s="638"/>
      <c r="AJ151" s="638"/>
      <c r="AK151" s="1657">
        <v>11</v>
      </c>
    </row>
    <row s="1657" customFormat="1" customHeight="1" ht="11.549999999999999">
      <c r="A152" s="1003"/>
      <c r="B152" s="1003"/>
      <c r="C152" s="1003"/>
      <c r="D152" s="1003"/>
      <c r="E152" s="1003"/>
      <c r="F152" s="1652"/>
      <c r="G152" s="1652"/>
      <c r="H152" s="367"/>
      <c r="N152" s="1382"/>
      <c r="P152" s="1382"/>
      <c r="Q152" s="1652"/>
      <c r="R152" s="1652"/>
      <c r="S152" s="1382"/>
      <c r="T152" s="1382"/>
      <c r="U152" s="1382"/>
      <c r="V152" s="1382"/>
      <c r="W152" s="1652"/>
      <c r="X152" s="1382"/>
      <c r="Y152" s="1382"/>
      <c r="Z152" s="560"/>
      <c r="AA152" s="1382"/>
      <c r="AB152" s="1382"/>
      <c r="AC152" s="1382"/>
      <c r="AD152" s="1382"/>
      <c r="AE152" s="1382"/>
      <c r="AF152" s="1648"/>
      <c r="AG152" s="638"/>
      <c r="AH152" s="638"/>
      <c r="AI152" s="638"/>
      <c r="AJ152" s="638"/>
      <c r="AK152" s="1657">
        <v>11</v>
      </c>
    </row>
    <row s="1657" customFormat="1" customHeight="1" ht="11.549999999999999">
      <c r="A153" s="1003"/>
      <c r="B153" s="1003"/>
      <c r="C153" s="1003"/>
      <c r="D153" s="1003"/>
      <c r="E153" s="1003"/>
      <c r="F153" s="1652"/>
      <c r="G153" s="1652"/>
      <c r="H153" s="367"/>
      <c r="N153" s="1382"/>
      <c r="P153" s="1382"/>
      <c r="Q153" s="1652"/>
      <c r="R153" s="1652"/>
      <c r="S153" s="1382"/>
      <c r="T153" s="1382"/>
      <c r="U153" s="1382"/>
      <c r="V153" s="1382"/>
      <c r="W153" s="1652"/>
      <c r="X153" s="1382"/>
      <c r="Y153" s="1382"/>
      <c r="Z153" s="560"/>
      <c r="AA153" s="1382"/>
      <c r="AB153" s="1382"/>
      <c r="AC153" s="1382"/>
      <c r="AD153" s="1382"/>
      <c r="AE153" s="1382"/>
      <c r="AF153" s="1648"/>
      <c r="AG153" s="638"/>
      <c r="AH153" s="638"/>
      <c r="AI153" s="638"/>
      <c r="AJ153" s="638"/>
      <c r="AK153" s="1657">
        <v>11</v>
      </c>
    </row>
    <row s="1657" customFormat="1" customHeight="1" ht="11.549999999999999">
      <c r="A154" s="1003"/>
      <c r="B154" s="1003"/>
      <c r="C154" s="1003"/>
      <c r="D154" s="1003"/>
      <c r="E154" s="1003"/>
      <c r="F154" s="1652"/>
      <c r="G154" s="1652"/>
      <c r="H154" s="367"/>
      <c r="N154" s="1382"/>
      <c r="P154" s="1382"/>
      <c r="Q154" s="1652"/>
      <c r="R154" s="1652"/>
      <c r="S154" s="1382"/>
      <c r="T154" s="1382"/>
      <c r="U154" s="1382"/>
      <c r="V154" s="1382"/>
      <c r="W154" s="1652"/>
      <c r="X154" s="1382"/>
      <c r="Y154" s="1382"/>
      <c r="Z154" s="560"/>
      <c r="AA154" s="1382"/>
      <c r="AB154" s="1382"/>
      <c r="AC154" s="1382"/>
      <c r="AD154" s="1382"/>
      <c r="AE154" s="1382"/>
      <c r="AF154" s="1648"/>
      <c r="AG154" s="638"/>
      <c r="AH154" s="638"/>
      <c r="AI154" s="638"/>
      <c r="AJ154" s="638"/>
      <c r="AK154" s="1657">
        <v>11</v>
      </c>
    </row>
    <row s="1657" customFormat="1" customHeight="1" ht="11.549999999999999">
      <c r="A155" s="1003"/>
      <c r="B155" s="1003"/>
      <c r="C155" s="1003"/>
      <c r="D155" s="1003"/>
      <c r="E155" s="1003"/>
      <c r="F155" s="1652"/>
      <c r="G155" s="1652"/>
      <c r="H155" s="367"/>
      <c r="N155" s="1382"/>
      <c r="P155" s="1382"/>
      <c r="Q155" s="1652"/>
      <c r="R155" s="1652"/>
      <c r="S155" s="1382"/>
      <c r="T155" s="1382"/>
      <c r="U155" s="1382"/>
      <c r="V155" s="1382"/>
      <c r="W155" s="1652"/>
      <c r="X155" s="1382"/>
      <c r="Y155" s="1382"/>
      <c r="Z155" s="560"/>
      <c r="AA155" s="1382"/>
      <c r="AB155" s="1382"/>
      <c r="AC155" s="1382"/>
      <c r="AD155" s="1382"/>
      <c r="AE155" s="1382"/>
      <c r="AF155" s="1648"/>
      <c r="AG155" s="638"/>
      <c r="AH155" s="638"/>
      <c r="AI155" s="638"/>
      <c r="AJ155" s="638"/>
      <c r="AK155" s="1657">
        <v>11</v>
      </c>
    </row>
    <row s="1657" customFormat="1" customHeight="1" ht="11.549999999999999">
      <c r="A156" s="1003"/>
      <c r="B156" s="1003"/>
      <c r="C156" s="1003"/>
      <c r="D156" s="1003"/>
      <c r="E156" s="1003"/>
      <c r="F156" s="1652"/>
      <c r="G156" s="1652"/>
      <c r="H156" s="367"/>
      <c r="N156" s="1382"/>
      <c r="P156" s="1382"/>
      <c r="Q156" s="1652"/>
      <c r="R156" s="1652"/>
      <c r="S156" s="1382"/>
      <c r="T156" s="1382"/>
      <c r="U156" s="1382"/>
      <c r="V156" s="1382"/>
      <c r="W156" s="1652"/>
      <c r="X156" s="1382"/>
      <c r="Y156" s="1382"/>
      <c r="Z156" s="560"/>
      <c r="AA156" s="1382"/>
      <c r="AB156" s="1382"/>
      <c r="AC156" s="1382"/>
      <c r="AD156" s="1382"/>
      <c r="AE156" s="1382"/>
      <c r="AF156" s="1648"/>
      <c r="AG156" s="638"/>
      <c r="AH156" s="638"/>
      <c r="AI156" s="638"/>
      <c r="AJ156" s="638"/>
      <c r="AK156" s="1657">
        <v>11</v>
      </c>
    </row>
    <row s="1657" customFormat="1" customHeight="1" ht="11.549999999999999">
      <c r="A157" s="1003"/>
      <c r="B157" s="1003"/>
      <c r="C157" s="1003"/>
      <c r="D157" s="1003"/>
      <c r="E157" s="1003"/>
      <c r="F157" s="1652"/>
      <c r="G157" s="1652"/>
      <c r="H157" s="367"/>
      <c r="N157" s="1382"/>
      <c r="P157" s="1382"/>
      <c r="Q157" s="1652"/>
      <c r="R157" s="1652"/>
      <c r="S157" s="1382"/>
      <c r="T157" s="1382"/>
      <c r="U157" s="1382"/>
      <c r="V157" s="1382"/>
      <c r="W157" s="1652"/>
      <c r="X157" s="1382"/>
      <c r="Y157" s="1382"/>
      <c r="Z157" s="560"/>
      <c r="AA157" s="1382"/>
      <c r="AB157" s="1382"/>
      <c r="AC157" s="1382"/>
      <c r="AD157" s="1382"/>
      <c r="AE157" s="1382"/>
      <c r="AF157" s="1648"/>
      <c r="AG157" s="638"/>
      <c r="AH157" s="638"/>
      <c r="AI157" s="638"/>
      <c r="AJ157" s="638"/>
      <c r="AK157" s="1657">
        <v>11</v>
      </c>
    </row>
    <row s="1657" customFormat="1" customHeight="1" ht="11.549999999999999">
      <c r="A158" s="1003"/>
      <c r="B158" s="1003"/>
      <c r="C158" s="1003"/>
      <c r="D158" s="1003"/>
      <c r="E158" s="1003"/>
      <c r="F158" s="1652"/>
      <c r="G158" s="1652"/>
      <c r="H158" s="367"/>
      <c r="N158" s="1382"/>
      <c r="P158" s="1382"/>
      <c r="Q158" s="1652"/>
      <c r="R158" s="1652"/>
      <c r="S158" s="1382"/>
      <c r="T158" s="1382"/>
      <c r="U158" s="1382"/>
      <c r="V158" s="1382"/>
      <c r="W158" s="1652"/>
      <c r="X158" s="1382"/>
      <c r="Y158" s="1382"/>
      <c r="Z158" s="560"/>
      <c r="AA158" s="1382"/>
      <c r="AB158" s="1382"/>
      <c r="AC158" s="1382"/>
      <c r="AD158" s="1382"/>
      <c r="AE158" s="1382"/>
      <c r="AF158" s="1648"/>
      <c r="AG158" s="638"/>
      <c r="AH158" s="638"/>
      <c r="AI158" s="638"/>
      <c r="AJ158" s="638"/>
      <c r="AK158" s="1657">
        <v>11</v>
      </c>
    </row>
    <row s="1657" customFormat="1" customHeight="1" ht="11.549999999999999">
      <c r="A159" s="1003"/>
      <c r="B159" s="1003"/>
      <c r="C159" s="1003"/>
      <c r="D159" s="1003"/>
      <c r="E159" s="1003"/>
      <c r="F159" s="1652"/>
      <c r="G159" s="1652"/>
      <c r="H159" s="367"/>
      <c r="N159" s="1382"/>
      <c r="P159" s="1382"/>
      <c r="Q159" s="1652"/>
      <c r="R159" s="1652"/>
      <c r="S159" s="1382"/>
      <c r="T159" s="1382"/>
      <c r="U159" s="1382"/>
      <c r="V159" s="1382"/>
      <c r="W159" s="1652"/>
      <c r="X159" s="1382"/>
      <c r="Y159" s="1382"/>
      <c r="Z159" s="560"/>
      <c r="AA159" s="1382"/>
      <c r="AB159" s="1382"/>
      <c r="AC159" s="1382"/>
      <c r="AD159" s="1382"/>
      <c r="AE159" s="1382"/>
      <c r="AF159" s="1648"/>
      <c r="AG159" s="638"/>
      <c r="AH159" s="638"/>
      <c r="AI159" s="638"/>
      <c r="AJ159" s="638"/>
      <c r="AK159" s="1657">
        <v>11</v>
      </c>
    </row>
    <row s="1657" customFormat="1" customHeight="1" ht="11.549999999999999">
      <c r="A160" s="1003"/>
      <c r="B160" s="1003"/>
      <c r="C160" s="1003"/>
      <c r="D160" s="1003"/>
      <c r="E160" s="1003"/>
      <c r="F160" s="1652"/>
      <c r="G160" s="1652"/>
      <c r="H160" s="367"/>
      <c r="N160" s="1382"/>
      <c r="P160" s="1382"/>
      <c r="Q160" s="1652"/>
      <c r="R160" s="1652"/>
      <c r="S160" s="1382"/>
      <c r="T160" s="1382"/>
      <c r="U160" s="1382"/>
      <c r="V160" s="1382"/>
      <c r="W160" s="1652"/>
      <c r="X160" s="1382"/>
      <c r="Y160" s="1382"/>
      <c r="Z160" s="560"/>
      <c r="AA160" s="1382"/>
      <c r="AB160" s="1382"/>
      <c r="AC160" s="1382"/>
      <c r="AD160" s="1382"/>
      <c r="AE160" s="1382"/>
      <c r="AF160" s="1648"/>
      <c r="AG160" s="638"/>
      <c r="AH160" s="638"/>
      <c r="AI160" s="638"/>
      <c r="AJ160" s="638"/>
      <c r="AK160" s="1657">
        <v>11</v>
      </c>
    </row>
    <row s="1657" customFormat="1" customHeight="1" ht="11.549999999999999">
      <c r="A161" s="1003"/>
      <c r="B161" s="1003"/>
      <c r="C161" s="1003"/>
      <c r="D161" s="1003"/>
      <c r="E161" s="1003"/>
      <c r="F161" s="1652"/>
      <c r="G161" s="1652"/>
      <c r="H161" s="367"/>
      <c r="N161" s="1382"/>
      <c r="P161" s="1382"/>
      <c r="Q161" s="1652"/>
      <c r="R161" s="1652"/>
      <c r="S161" s="1382"/>
      <c r="T161" s="1382"/>
      <c r="U161" s="1382"/>
      <c r="V161" s="1382"/>
      <c r="W161" s="1652"/>
      <c r="X161" s="1382"/>
      <c r="Y161" s="1382"/>
      <c r="Z161" s="560"/>
      <c r="AA161" s="1382"/>
      <c r="AB161" s="1382"/>
      <c r="AC161" s="1382"/>
      <c r="AD161" s="1382"/>
      <c r="AE161" s="1382"/>
      <c r="AF161" s="1648"/>
      <c r="AG161" s="638"/>
      <c r="AH161" s="638"/>
      <c r="AI161" s="638"/>
      <c r="AJ161" s="638"/>
      <c r="AK161" s="1657">
        <v>11</v>
      </c>
    </row>
    <row s="1657" customFormat="1" customHeight="1" ht="11.549999999999999">
      <c r="A162" s="1003"/>
      <c r="B162" s="1003"/>
      <c r="C162" s="1003"/>
      <c r="D162" s="1003"/>
      <c r="E162" s="1003"/>
      <c r="F162" s="1652"/>
      <c r="G162" s="1652"/>
      <c r="H162" s="367"/>
      <c r="N162" s="1382"/>
      <c r="P162" s="1382"/>
      <c r="Q162" s="1652"/>
      <c r="R162" s="1652"/>
      <c r="S162" s="1382"/>
      <c r="T162" s="1382"/>
      <c r="U162" s="1382"/>
      <c r="V162" s="1382"/>
      <c r="W162" s="1652"/>
      <c r="X162" s="1382"/>
      <c r="Y162" s="1382"/>
      <c r="Z162" s="560"/>
      <c r="AA162" s="1382"/>
      <c r="AB162" s="1382"/>
      <c r="AC162" s="1382"/>
      <c r="AD162" s="1382"/>
      <c r="AE162" s="1382"/>
      <c r="AF162" s="1648"/>
      <c r="AG162" s="638"/>
      <c r="AH162" s="638"/>
      <c r="AI162" s="638"/>
      <c r="AJ162" s="638"/>
      <c r="AK162" s="1657">
        <v>11</v>
      </c>
    </row>
    <row s="1657" customFormat="1" customHeight="1" ht="11.549999999999999">
      <c r="A163" s="1003"/>
      <c r="B163" s="1003"/>
      <c r="C163" s="1003"/>
      <c r="D163" s="1003"/>
      <c r="E163" s="1003"/>
      <c r="F163" s="1652"/>
      <c r="G163" s="1652"/>
      <c r="H163" s="367"/>
      <c r="N163" s="1382"/>
      <c r="P163" s="1382"/>
      <c r="Q163" s="1652"/>
      <c r="R163" s="1652"/>
      <c r="S163" s="1382"/>
      <c r="T163" s="1382"/>
      <c r="U163" s="1382"/>
      <c r="V163" s="1382"/>
      <c r="W163" s="1652"/>
      <c r="X163" s="1382"/>
      <c r="Y163" s="1382"/>
      <c r="Z163" s="560"/>
      <c r="AA163" s="1382"/>
      <c r="AB163" s="1382"/>
      <c r="AC163" s="1382"/>
      <c r="AD163" s="1382"/>
      <c r="AE163" s="1382"/>
      <c r="AF163" s="1648"/>
      <c r="AG163" s="638"/>
      <c r="AH163" s="638"/>
      <c r="AI163" s="638"/>
      <c r="AJ163" s="638"/>
      <c r="AK163" s="1657">
        <v>11</v>
      </c>
    </row>
    <row s="1657" customFormat="1" customHeight="1" ht="11.549999999999999">
      <c r="A164" s="1003"/>
      <c r="B164" s="1003"/>
      <c r="C164" s="1003"/>
      <c r="D164" s="1003"/>
      <c r="E164" s="1003"/>
      <c r="F164" s="1652"/>
      <c r="G164" s="1652"/>
      <c r="H164" s="367"/>
      <c r="N164" s="1382"/>
      <c r="P164" s="1382"/>
      <c r="Q164" s="1652"/>
      <c r="R164" s="1652"/>
      <c r="S164" s="1382"/>
      <c r="T164" s="1382"/>
      <c r="U164" s="1382"/>
      <c r="V164" s="1382"/>
      <c r="W164" s="1652"/>
      <c r="X164" s="1382"/>
      <c r="Y164" s="1382"/>
      <c r="Z164" s="560"/>
      <c r="AA164" s="1382"/>
      <c r="AB164" s="1382"/>
      <c r="AC164" s="1382"/>
      <c r="AD164" s="1382"/>
      <c r="AE164" s="1382"/>
      <c r="AF164" s="1648"/>
      <c r="AG164" s="638"/>
      <c r="AH164" s="638"/>
      <c r="AI164" s="638"/>
      <c r="AJ164" s="638"/>
      <c r="AK164" s="1657">
        <v>11</v>
      </c>
    </row>
    <row s="1657" customFormat="1" customHeight="1" ht="11.549999999999999">
      <c r="A165" s="1003"/>
      <c r="B165" s="1003"/>
      <c r="C165" s="1003"/>
      <c r="D165" s="1003"/>
      <c r="E165" s="1003"/>
      <c r="F165" s="1652"/>
      <c r="G165" s="1652"/>
      <c r="H165" s="367"/>
      <c r="N165" s="1382"/>
      <c r="P165" s="1382"/>
      <c r="Q165" s="1652"/>
      <c r="R165" s="1652"/>
      <c r="S165" s="1382"/>
      <c r="T165" s="1382"/>
      <c r="U165" s="1382"/>
      <c r="V165" s="1382"/>
      <c r="W165" s="1652"/>
      <c r="X165" s="1382"/>
      <c r="Y165" s="1382"/>
      <c r="Z165" s="560"/>
      <c r="AA165" s="1382"/>
      <c r="AB165" s="1382"/>
      <c r="AC165" s="1382"/>
      <c r="AD165" s="1382"/>
      <c r="AE165" s="1382"/>
      <c r="AF165" s="1648"/>
      <c r="AG165" s="638"/>
      <c r="AH165" s="638"/>
      <c r="AI165" s="638"/>
      <c r="AJ165" s="638"/>
      <c r="AK165" s="1657">
        <v>11</v>
      </c>
    </row>
    <row s="1657" customFormat="1" customHeight="1" ht="11.549999999999999">
      <c r="A166" s="1003"/>
      <c r="B166" s="1003"/>
      <c r="C166" s="1003"/>
      <c r="D166" s="1003"/>
      <c r="E166" s="1003"/>
      <c r="F166" s="1652"/>
      <c r="G166" s="1652"/>
      <c r="H166" s="367"/>
      <c r="N166" s="1382"/>
      <c r="P166" s="1382"/>
      <c r="Q166" s="1652"/>
      <c r="R166" s="1652"/>
      <c r="S166" s="1382"/>
      <c r="T166" s="1382"/>
      <c r="U166" s="1382"/>
      <c r="V166" s="1382"/>
      <c r="W166" s="1652"/>
      <c r="X166" s="1382"/>
      <c r="Y166" s="1382"/>
      <c r="Z166" s="560"/>
      <c r="AA166" s="1382"/>
      <c r="AB166" s="1382"/>
      <c r="AC166" s="1382"/>
      <c r="AD166" s="1382"/>
      <c r="AE166" s="1382"/>
      <c r="AF166" s="1648"/>
      <c r="AG166" s="638"/>
      <c r="AH166" s="638"/>
      <c r="AI166" s="638"/>
      <c r="AJ166" s="638"/>
      <c r="AK166" s="1657">
        <v>11</v>
      </c>
    </row>
    <row s="1657" customFormat="1" customHeight="1" ht="11.549999999999999">
      <c r="A167" s="1003"/>
      <c r="B167" s="1003"/>
      <c r="C167" s="1003"/>
      <c r="D167" s="1003"/>
      <c r="E167" s="1003"/>
      <c r="F167" s="1652"/>
      <c r="G167" s="1652"/>
      <c r="H167" s="367"/>
      <c r="N167" s="1382"/>
      <c r="P167" s="1382"/>
      <c r="Q167" s="1652"/>
      <c r="R167" s="1652"/>
      <c r="S167" s="1382"/>
      <c r="T167" s="1382"/>
      <c r="U167" s="1382"/>
      <c r="V167" s="1382"/>
      <c r="W167" s="1652"/>
      <c r="X167" s="1382"/>
      <c r="Y167" s="1382"/>
      <c r="Z167" s="560"/>
      <c r="AA167" s="1382"/>
      <c r="AB167" s="1382"/>
      <c r="AC167" s="1382"/>
      <c r="AD167" s="1382"/>
      <c r="AE167" s="1382"/>
      <c r="AF167" s="1648"/>
      <c r="AG167" s="638"/>
      <c r="AH167" s="638"/>
      <c r="AI167" s="638"/>
      <c r="AJ167" s="638"/>
      <c r="AK167" s="1657">
        <v>11</v>
      </c>
    </row>
    <row s="1657" customFormat="1" customHeight="1" ht="11.549999999999999">
      <c r="A168" s="1003"/>
      <c r="B168" s="1003"/>
      <c r="C168" s="1003"/>
      <c r="D168" s="1003"/>
      <c r="E168" s="1003"/>
      <c r="F168" s="1652"/>
      <c r="G168" s="1652"/>
      <c r="H168" s="367"/>
      <c r="N168" s="1382"/>
      <c r="P168" s="1382"/>
      <c r="Q168" s="1652"/>
      <c r="R168" s="1652"/>
      <c r="S168" s="1382"/>
      <c r="T168" s="1382"/>
      <c r="U168" s="1382"/>
      <c r="V168" s="1382"/>
      <c r="W168" s="1652"/>
      <c r="X168" s="1382"/>
      <c r="Y168" s="1382"/>
      <c r="Z168" s="560"/>
      <c r="AA168" s="1382"/>
      <c r="AB168" s="1382"/>
      <c r="AC168" s="1382"/>
      <c r="AD168" s="1382"/>
      <c r="AE168" s="1382"/>
      <c r="AF168" s="1648"/>
      <c r="AG168" s="638"/>
      <c r="AH168" s="638"/>
      <c r="AI168" s="638"/>
      <c r="AJ168" s="638"/>
      <c r="AK168" s="1657">
        <v>11</v>
      </c>
    </row>
    <row s="1657" customFormat="1" customHeight="1" ht="11.549999999999999">
      <c r="A169" s="1003"/>
      <c r="B169" s="1003"/>
      <c r="C169" s="1003"/>
      <c r="D169" s="1003"/>
      <c r="E169" s="1003"/>
      <c r="F169" s="1652"/>
      <c r="G169" s="1652"/>
      <c r="H169" s="367"/>
      <c r="N169" s="1382"/>
      <c r="P169" s="1382"/>
      <c r="Q169" s="1652"/>
      <c r="R169" s="1652"/>
      <c r="S169" s="1382"/>
      <c r="T169" s="1382"/>
      <c r="U169" s="1382"/>
      <c r="V169" s="1382"/>
      <c r="W169" s="1652"/>
      <c r="X169" s="1382"/>
      <c r="Y169" s="1382"/>
      <c r="Z169" s="560"/>
      <c r="AA169" s="1382"/>
      <c r="AB169" s="1382"/>
      <c r="AC169" s="1382"/>
      <c r="AD169" s="1382"/>
      <c r="AE169" s="1382"/>
      <c r="AF169" s="1648"/>
      <c r="AG169" s="638"/>
      <c r="AH169" s="638"/>
      <c r="AI169" s="638"/>
      <c r="AJ169" s="638"/>
      <c r="AK169" s="1657">
        <v>11</v>
      </c>
    </row>
    <row s="1657" customFormat="1" customHeight="1" ht="11.549999999999999">
      <c r="A170" s="1003"/>
      <c r="B170" s="1003"/>
      <c r="C170" s="1003"/>
      <c r="D170" s="1003"/>
      <c r="E170" s="1003"/>
      <c r="F170" s="1652"/>
      <c r="G170" s="1652"/>
      <c r="H170" s="367"/>
      <c r="N170" s="1382"/>
      <c r="P170" s="1382"/>
      <c r="Q170" s="1652"/>
      <c r="R170" s="1652"/>
      <c r="S170" s="1382"/>
      <c r="T170" s="1382"/>
      <c r="U170" s="1382"/>
      <c r="V170" s="1382"/>
      <c r="W170" s="1652"/>
      <c r="X170" s="1382"/>
      <c r="Y170" s="1382"/>
      <c r="Z170" s="560"/>
      <c r="AA170" s="1382"/>
      <c r="AB170" s="1382"/>
      <c r="AC170" s="1382"/>
      <c r="AD170" s="1382"/>
      <c r="AE170" s="1382"/>
      <c r="AF170" s="1648"/>
      <c r="AG170" s="638"/>
      <c r="AH170" s="638"/>
      <c r="AI170" s="638"/>
      <c r="AJ170" s="638"/>
      <c r="AK170" s="1657">
        <v>11</v>
      </c>
    </row>
    <row s="1657" customFormat="1" customHeight="1" ht="11.549999999999999">
      <c r="A171" s="1003"/>
      <c r="B171" s="1003"/>
      <c r="C171" s="1003"/>
      <c r="D171" s="1003"/>
      <c r="E171" s="1003"/>
      <c r="F171" s="1652"/>
      <c r="G171" s="1652"/>
      <c r="H171" s="367"/>
      <c r="N171" s="1382"/>
      <c r="P171" s="1382"/>
      <c r="Q171" s="1652"/>
      <c r="R171" s="1652"/>
      <c r="S171" s="1382"/>
      <c r="T171" s="1382"/>
      <c r="U171" s="1382"/>
      <c r="V171" s="1382"/>
      <c r="W171" s="1652"/>
      <c r="X171" s="1382"/>
      <c r="Y171" s="1382"/>
      <c r="Z171" s="560"/>
      <c r="AA171" s="1382"/>
      <c r="AB171" s="1382"/>
      <c r="AC171" s="1382"/>
      <c r="AD171" s="1382"/>
      <c r="AE171" s="1382"/>
      <c r="AF171" s="1648"/>
      <c r="AG171" s="638"/>
      <c r="AH171" s="638"/>
      <c r="AI171" s="638"/>
      <c r="AJ171" s="638"/>
      <c r="AK171" s="1657">
        <v>11</v>
      </c>
    </row>
    <row s="1657" customFormat="1" customHeight="1" ht="11.549999999999999">
      <c r="A172" s="1003"/>
      <c r="B172" s="1003"/>
      <c r="C172" s="1003"/>
      <c r="D172" s="1003"/>
      <c r="E172" s="1003"/>
      <c r="F172" s="1652"/>
      <c r="G172" s="1652"/>
      <c r="H172" s="367"/>
      <c r="N172" s="1382"/>
      <c r="P172" s="1382"/>
      <c r="Q172" s="1652"/>
      <c r="R172" s="1652"/>
      <c r="S172" s="1382"/>
      <c r="T172" s="1382"/>
      <c r="U172" s="1382"/>
      <c r="V172" s="1382"/>
      <c r="W172" s="1652"/>
      <c r="X172" s="1382"/>
      <c r="Y172" s="1382"/>
      <c r="Z172" s="560"/>
      <c r="AA172" s="1382"/>
      <c r="AB172" s="1382"/>
      <c r="AC172" s="1382"/>
      <c r="AD172" s="1382"/>
      <c r="AE172" s="1382"/>
      <c r="AF172" s="1648"/>
      <c r="AG172" s="638"/>
      <c r="AH172" s="638"/>
      <c r="AI172" s="638"/>
      <c r="AJ172" s="638"/>
      <c r="AK172" s="1657">
        <v>11</v>
      </c>
    </row>
    <row s="1657" customFormat="1" customHeight="1" ht="11.549999999999999">
      <c r="A173" s="1003"/>
      <c r="B173" s="1003"/>
      <c r="C173" s="1003"/>
      <c r="D173" s="1003"/>
      <c r="E173" s="1003"/>
      <c r="F173" s="1652"/>
      <c r="G173" s="1652"/>
      <c r="H173" s="367"/>
      <c r="N173" s="1382"/>
      <c r="P173" s="1382"/>
      <c r="Q173" s="1652"/>
      <c r="R173" s="1652"/>
      <c r="S173" s="1382"/>
      <c r="T173" s="1382"/>
      <c r="U173" s="1382"/>
      <c r="V173" s="1382"/>
      <c r="W173" s="1652"/>
      <c r="X173" s="1382"/>
      <c r="Y173" s="1382"/>
      <c r="Z173" s="560"/>
      <c r="AA173" s="1382"/>
      <c r="AB173" s="1382"/>
      <c r="AC173" s="1382"/>
      <c r="AD173" s="1382"/>
      <c r="AE173" s="1382"/>
      <c r="AF173" s="1648"/>
      <c r="AG173" s="638"/>
      <c r="AH173" s="638"/>
      <c r="AI173" s="638"/>
      <c r="AJ173" s="638"/>
      <c r="AK173" s="1657">
        <v>11</v>
      </c>
    </row>
    <row s="1657" customFormat="1" customHeight="1" ht="11.549999999999999">
      <c r="A174" s="1003"/>
      <c r="B174" s="1003"/>
      <c r="C174" s="1003"/>
      <c r="D174" s="1003"/>
      <c r="E174" s="1003"/>
      <c r="F174" s="1652"/>
      <c r="G174" s="1652"/>
      <c r="H174" s="367"/>
      <c r="N174" s="1382"/>
      <c r="P174" s="1382"/>
      <c r="Q174" s="1652"/>
      <c r="R174" s="1652"/>
      <c r="S174" s="1382"/>
      <c r="T174" s="1382"/>
      <c r="U174" s="1382"/>
      <c r="V174" s="1382"/>
      <c r="W174" s="1652"/>
      <c r="X174" s="1382"/>
      <c r="Y174" s="1382"/>
      <c r="Z174" s="560"/>
      <c r="AA174" s="1382"/>
      <c r="AB174" s="1382"/>
      <c r="AC174" s="1382"/>
      <c r="AD174" s="1382"/>
      <c r="AE174" s="1382"/>
      <c r="AF174" s="1648"/>
      <c r="AG174" s="638"/>
      <c r="AH174" s="638"/>
      <c r="AI174" s="638"/>
      <c r="AJ174" s="638"/>
      <c r="AK174" s="1657">
        <v>11</v>
      </c>
    </row>
    <row s="1657" customFormat="1" customHeight="1" ht="11.549999999999999">
      <c r="A175" s="1003"/>
      <c r="B175" s="1003"/>
      <c r="C175" s="1003"/>
      <c r="D175" s="1003"/>
      <c r="E175" s="1003"/>
      <c r="F175" s="1652"/>
      <c r="G175" s="1652"/>
      <c r="H175" s="367"/>
      <c r="N175" s="1382"/>
      <c r="P175" s="1382"/>
      <c r="Q175" s="1652"/>
      <c r="R175" s="1652"/>
      <c r="S175" s="1382"/>
      <c r="T175" s="1382"/>
      <c r="U175" s="1382"/>
      <c r="V175" s="1382"/>
      <c r="W175" s="1652"/>
      <c r="X175" s="1382"/>
      <c r="Y175" s="1382"/>
      <c r="Z175" s="560"/>
      <c r="AA175" s="1382"/>
      <c r="AB175" s="1382"/>
      <c r="AC175" s="1382"/>
      <c r="AD175" s="1382"/>
      <c r="AE175" s="1382"/>
      <c r="AF175" s="1648"/>
      <c r="AG175" s="638"/>
      <c r="AH175" s="638"/>
      <c r="AI175" s="638"/>
      <c r="AJ175" s="638"/>
      <c r="AK175" s="1657">
        <v>11</v>
      </c>
    </row>
    <row s="1657" customFormat="1" customHeight="1" ht="11.549999999999999">
      <c r="A176" s="1003"/>
      <c r="B176" s="1003"/>
      <c r="C176" s="1003"/>
      <c r="D176" s="1003"/>
      <c r="E176" s="1003"/>
      <c r="F176" s="1652"/>
      <c r="G176" s="1652"/>
      <c r="H176" s="367"/>
      <c r="N176" s="1382"/>
      <c r="P176" s="1382"/>
      <c r="Q176" s="1652"/>
      <c r="R176" s="1652"/>
      <c r="S176" s="1382"/>
      <c r="T176" s="1382"/>
      <c r="U176" s="1382"/>
      <c r="V176" s="1382"/>
      <c r="W176" s="1652"/>
      <c r="X176" s="1382"/>
      <c r="Y176" s="1382"/>
      <c r="Z176" s="560"/>
      <c r="AA176" s="1382"/>
      <c r="AB176" s="1382"/>
      <c r="AC176" s="1382"/>
      <c r="AD176" s="1382"/>
      <c r="AE176" s="1382"/>
      <c r="AF176" s="1648"/>
      <c r="AG176" s="638"/>
      <c r="AH176" s="638"/>
      <c r="AI176" s="638"/>
      <c r="AJ176" s="638"/>
      <c r="AK176" s="1657">
        <v>11</v>
      </c>
    </row>
    <row s="1657" customFormat="1" customHeight="1" ht="11.549999999999999">
      <c r="A177" s="1003"/>
      <c r="B177" s="1003"/>
      <c r="C177" s="1003"/>
      <c r="D177" s="1003"/>
      <c r="E177" s="1003"/>
      <c r="F177" s="1652"/>
      <c r="G177" s="1652"/>
      <c r="H177" s="367"/>
      <c r="N177" s="1382"/>
      <c r="P177" s="1382"/>
      <c r="Q177" s="1652"/>
      <c r="R177" s="1652"/>
      <c r="S177" s="1382"/>
      <c r="T177" s="1382"/>
      <c r="U177" s="1382"/>
      <c r="V177" s="1382"/>
      <c r="W177" s="1652"/>
      <c r="X177" s="1382"/>
      <c r="Y177" s="1382"/>
      <c r="Z177" s="560"/>
      <c r="AA177" s="1382"/>
      <c r="AB177" s="1382"/>
      <c r="AC177" s="1382"/>
      <c r="AD177" s="1382"/>
      <c r="AE177" s="1382"/>
      <c r="AF177" s="1648"/>
      <c r="AG177" s="638"/>
      <c r="AH177" s="638"/>
      <c r="AI177" s="638"/>
      <c r="AJ177" s="638"/>
      <c r="AK177" s="1657">
        <v>11</v>
      </c>
    </row>
    <row s="1657" customFormat="1" customHeight="1" ht="11.549999999999999">
      <c r="A178" s="1003"/>
      <c r="B178" s="1003"/>
      <c r="C178" s="1003"/>
      <c r="D178" s="1003"/>
      <c r="E178" s="1003"/>
      <c r="F178" s="1652"/>
      <c r="G178" s="1652"/>
      <c r="H178" s="367"/>
      <c r="N178" s="1382"/>
      <c r="P178" s="1382"/>
      <c r="Q178" s="1652"/>
      <c r="R178" s="1652"/>
      <c r="S178" s="1382"/>
      <c r="T178" s="1382"/>
      <c r="U178" s="1382"/>
      <c r="V178" s="1382"/>
      <c r="W178" s="1652"/>
      <c r="X178" s="1382"/>
      <c r="Y178" s="1382"/>
      <c r="Z178" s="560"/>
      <c r="AA178" s="1382"/>
      <c r="AB178" s="1382"/>
      <c r="AC178" s="1382"/>
      <c r="AD178" s="1382"/>
      <c r="AE178" s="1382"/>
      <c r="AF178" s="1648"/>
      <c r="AG178" s="638"/>
      <c r="AH178" s="638"/>
      <c r="AI178" s="638"/>
      <c r="AJ178" s="638"/>
      <c r="AK178" s="1657">
        <v>11</v>
      </c>
    </row>
    <row s="1657" customFormat="1" customHeight="1" ht="11.549999999999999">
      <c r="A179" s="1003"/>
      <c r="B179" s="1003"/>
      <c r="C179" s="1003"/>
      <c r="D179" s="1003"/>
      <c r="E179" s="1003"/>
      <c r="F179" s="1652"/>
      <c r="G179" s="1652"/>
      <c r="H179" s="367"/>
      <c r="N179" s="1382"/>
      <c r="P179" s="1382"/>
      <c r="Q179" s="1652"/>
      <c r="R179" s="1652"/>
      <c r="S179" s="1382"/>
      <c r="T179" s="1382"/>
      <c r="U179" s="1382"/>
      <c r="V179" s="1382"/>
      <c r="W179" s="1652"/>
      <c r="X179" s="1382"/>
      <c r="Y179" s="1382"/>
      <c r="Z179" s="560"/>
      <c r="AA179" s="1382"/>
      <c r="AB179" s="1382"/>
      <c r="AC179" s="1382"/>
      <c r="AD179" s="1382"/>
      <c r="AE179" s="1382"/>
      <c r="AF179" s="1648"/>
      <c r="AG179" s="638"/>
      <c r="AH179" s="638"/>
      <c r="AI179" s="638"/>
      <c r="AJ179" s="638"/>
      <c r="AK179" s="1657">
        <v>11</v>
      </c>
    </row>
    <row s="1657" customFormat="1" customHeight="1" ht="11.549999999999999">
      <c r="A180" s="1003"/>
      <c r="B180" s="1003"/>
      <c r="C180" s="1003"/>
      <c r="D180" s="1003"/>
      <c r="E180" s="1003"/>
      <c r="F180" s="1652"/>
      <c r="G180" s="1652"/>
      <c r="H180" s="367"/>
      <c r="N180" s="1382"/>
      <c r="P180" s="1382"/>
      <c r="Q180" s="1652"/>
      <c r="R180" s="1652"/>
      <c r="S180" s="1382"/>
      <c r="T180" s="1382"/>
      <c r="U180" s="1382"/>
      <c r="V180" s="1382"/>
      <c r="W180" s="1652"/>
      <c r="X180" s="1382"/>
      <c r="Y180" s="1382"/>
      <c r="Z180" s="560"/>
      <c r="AA180" s="1382"/>
      <c r="AB180" s="1382"/>
      <c r="AC180" s="1382"/>
      <c r="AD180" s="1382"/>
      <c r="AE180" s="1382"/>
      <c r="AF180" s="1648"/>
      <c r="AG180" s="638"/>
      <c r="AH180" s="638"/>
      <c r="AI180" s="638"/>
      <c r="AJ180" s="638"/>
      <c r="AK180" s="1657">
        <v>11</v>
      </c>
    </row>
    <row s="1657" customFormat="1" customHeight="1" ht="11.549999999999999">
      <c r="A181" s="1003"/>
      <c r="B181" s="1003"/>
      <c r="C181" s="1003"/>
      <c r="D181" s="1003"/>
      <c r="E181" s="1003"/>
      <c r="F181" s="1652"/>
      <c r="G181" s="1652"/>
      <c r="H181" s="367"/>
      <c r="N181" s="1382"/>
      <c r="P181" s="1382"/>
      <c r="Q181" s="1652"/>
      <c r="R181" s="1652"/>
      <c r="S181" s="1382"/>
      <c r="T181" s="1382"/>
      <c r="U181" s="1382"/>
      <c r="V181" s="1382"/>
      <c r="W181" s="1652"/>
      <c r="X181" s="1382"/>
      <c r="Y181" s="1382"/>
      <c r="Z181" s="560"/>
      <c r="AA181" s="1382"/>
      <c r="AB181" s="1382"/>
      <c r="AC181" s="1382"/>
      <c r="AD181" s="1382"/>
      <c r="AE181" s="1382"/>
      <c r="AF181" s="1648"/>
      <c r="AG181" s="638"/>
      <c r="AH181" s="638"/>
      <c r="AI181" s="638"/>
      <c r="AJ181" s="638"/>
      <c r="AK181" s="1657">
        <v>11</v>
      </c>
    </row>
    <row s="1657" customFormat="1" customHeight="1" ht="11.549999999999999">
      <c r="A182" s="1003"/>
      <c r="B182" s="1003"/>
      <c r="C182" s="1003"/>
      <c r="D182" s="1003"/>
      <c r="E182" s="1003"/>
      <c r="F182" s="1652"/>
      <c r="G182" s="1652"/>
      <c r="H182" s="367"/>
      <c r="N182" s="1382"/>
      <c r="P182" s="1382"/>
      <c r="Q182" s="1652"/>
      <c r="R182" s="1652"/>
      <c r="S182" s="1382"/>
      <c r="T182" s="1382"/>
      <c r="U182" s="1382"/>
      <c r="V182" s="1382"/>
      <c r="W182" s="1652"/>
      <c r="X182" s="1382"/>
      <c r="Y182" s="1382"/>
      <c r="Z182" s="560"/>
      <c r="AA182" s="1382"/>
      <c r="AB182" s="1382"/>
      <c r="AC182" s="1382"/>
      <c r="AD182" s="1382"/>
      <c r="AE182" s="1382"/>
      <c r="AF182" s="1648"/>
      <c r="AG182" s="638"/>
      <c r="AH182" s="638"/>
      <c r="AI182" s="638"/>
      <c r="AJ182" s="638"/>
      <c r="AK182" s="1657">
        <v>11</v>
      </c>
    </row>
    <row s="1657" customFormat="1" customHeight="1" ht="11.549999999999999">
      <c r="A183" s="1003"/>
      <c r="B183" s="1003"/>
      <c r="C183" s="1003"/>
      <c r="D183" s="1003"/>
      <c r="E183" s="1003"/>
      <c r="F183" s="1652"/>
      <c r="G183" s="1652"/>
      <c r="H183" s="367"/>
      <c r="N183" s="1382"/>
      <c r="P183" s="1382"/>
      <c r="Q183" s="1652"/>
      <c r="R183" s="1652"/>
      <c r="S183" s="1382"/>
      <c r="T183" s="1382"/>
      <c r="U183" s="1382"/>
      <c r="V183" s="1382"/>
      <c r="W183" s="1652"/>
      <c r="X183" s="1382"/>
      <c r="Y183" s="1382"/>
      <c r="Z183" s="560"/>
      <c r="AA183" s="1382"/>
      <c r="AB183" s="1382"/>
      <c r="AC183" s="1382"/>
      <c r="AD183" s="1382"/>
      <c r="AE183" s="1382"/>
      <c r="AF183" s="1648"/>
      <c r="AG183" s="638"/>
      <c r="AH183" s="638"/>
      <c r="AI183" s="638"/>
      <c r="AJ183" s="638"/>
      <c r="AK183" s="1657">
        <v>11</v>
      </c>
    </row>
    <row s="1657" customFormat="1" customHeight="1" ht="11.549999999999999">
      <c r="A184" s="1003"/>
      <c r="B184" s="1003"/>
      <c r="C184" s="1003"/>
      <c r="D184" s="1003"/>
      <c r="E184" s="1003"/>
      <c r="F184" s="1652"/>
      <c r="G184" s="1652"/>
      <c r="H184" s="367"/>
      <c r="N184" s="1382"/>
      <c r="P184" s="1382"/>
      <c r="Q184" s="1652"/>
      <c r="R184" s="1652"/>
      <c r="S184" s="1382"/>
      <c r="T184" s="1382"/>
      <c r="U184" s="1382"/>
      <c r="V184" s="1382"/>
      <c r="W184" s="1652"/>
      <c r="X184" s="1382"/>
      <c r="Y184" s="1382"/>
      <c r="Z184" s="560"/>
      <c r="AA184" s="1382"/>
      <c r="AB184" s="1382"/>
      <c r="AC184" s="1382"/>
      <c r="AD184" s="1382"/>
      <c r="AE184" s="1382"/>
      <c r="AF184" s="1648"/>
      <c r="AG184" s="638"/>
      <c r="AH184" s="638"/>
      <c r="AI184" s="638"/>
      <c r="AJ184" s="638"/>
      <c r="AK184" s="1657">
        <v>11</v>
      </c>
    </row>
    <row s="1657" customFormat="1" customHeight="1" ht="11.549999999999999">
      <c r="A185" s="1003"/>
      <c r="B185" s="1003"/>
      <c r="C185" s="1003"/>
      <c r="D185" s="1003"/>
      <c r="E185" s="1003"/>
      <c r="F185" s="1652"/>
      <c r="G185" s="1652"/>
      <c r="H185" s="367"/>
      <c r="N185" s="1382"/>
      <c r="P185" s="1382"/>
      <c r="Q185" s="1652"/>
      <c r="R185" s="1652"/>
      <c r="S185" s="1382"/>
      <c r="T185" s="1382"/>
      <c r="U185" s="1382"/>
      <c r="V185" s="1382"/>
      <c r="W185" s="1652"/>
      <c r="X185" s="1382"/>
      <c r="Y185" s="1382"/>
      <c r="Z185" s="560"/>
      <c r="AA185" s="1382"/>
      <c r="AB185" s="1382"/>
      <c r="AC185" s="1382"/>
      <c r="AD185" s="1382"/>
      <c r="AE185" s="1382"/>
      <c r="AF185" s="1648"/>
      <c r="AG185" s="638"/>
      <c r="AH185" s="638"/>
      <c r="AI185" s="638"/>
      <c r="AJ185" s="638"/>
      <c r="AK185" s="1657">
        <v>11</v>
      </c>
    </row>
    <row s="1657" customFormat="1" customHeight="1" ht="11.549999999999999">
      <c r="A186" s="1003"/>
      <c r="B186" s="1003"/>
      <c r="C186" s="1003"/>
      <c r="D186" s="1003"/>
      <c r="E186" s="1003"/>
      <c r="F186" s="1652"/>
      <c r="G186" s="1652"/>
      <c r="H186" s="367"/>
      <c r="N186" s="1382"/>
      <c r="P186" s="1382"/>
      <c r="Q186" s="1652"/>
      <c r="R186" s="1652"/>
      <c r="S186" s="1382"/>
      <c r="T186" s="1382"/>
      <c r="U186" s="1382"/>
      <c r="V186" s="1382"/>
      <c r="W186" s="1652"/>
      <c r="X186" s="1382"/>
      <c r="Y186" s="1382"/>
      <c r="Z186" s="560"/>
      <c r="AA186" s="1382"/>
      <c r="AB186" s="1382"/>
      <c r="AC186" s="1382"/>
      <c r="AD186" s="1382"/>
      <c r="AE186" s="1382"/>
      <c r="AF186" s="1648"/>
      <c r="AG186" s="638"/>
      <c r="AH186" s="638"/>
      <c r="AI186" s="638"/>
      <c r="AJ186" s="638"/>
      <c r="AK186" s="1657">
        <v>11</v>
      </c>
    </row>
    <row s="1657" customFormat="1" customHeight="1" ht="11.549999999999999">
      <c r="A187" s="1003"/>
      <c r="B187" s="1003"/>
      <c r="C187" s="1003"/>
      <c r="D187" s="1003"/>
      <c r="E187" s="1003"/>
      <c r="F187" s="1652"/>
      <c r="G187" s="1652"/>
      <c r="H187" s="367"/>
      <c r="N187" s="1382"/>
      <c r="P187" s="1382"/>
      <c r="Q187" s="1652"/>
      <c r="R187" s="1652"/>
      <c r="S187" s="1382"/>
      <c r="T187" s="1382"/>
      <c r="U187" s="1382"/>
      <c r="V187" s="1382"/>
      <c r="W187" s="1652"/>
      <c r="X187" s="1382"/>
      <c r="Y187" s="1382"/>
      <c r="Z187" s="560"/>
      <c r="AA187" s="1382"/>
      <c r="AB187" s="1382"/>
      <c r="AC187" s="1382"/>
      <c r="AD187" s="1382"/>
      <c r="AE187" s="1382"/>
      <c r="AF187" s="1648"/>
      <c r="AG187" s="638"/>
      <c r="AH187" s="638"/>
      <c r="AI187" s="638"/>
      <c r="AJ187" s="638"/>
      <c r="AK187" s="1657">
        <v>11</v>
      </c>
    </row>
    <row s="1657" customFormat="1" customHeight="1" ht="11.549999999999999">
      <c r="A188" s="1003"/>
      <c r="B188" s="1003"/>
      <c r="C188" s="1003"/>
      <c r="D188" s="1003"/>
      <c r="E188" s="1003"/>
      <c r="F188" s="1652"/>
      <c r="G188" s="1652"/>
      <c r="H188" s="367"/>
      <c r="N188" s="1382"/>
      <c r="P188" s="1382"/>
      <c r="Q188" s="1652"/>
      <c r="R188" s="1652"/>
      <c r="S188" s="1382"/>
      <c r="T188" s="1382"/>
      <c r="U188" s="1382"/>
      <c r="V188" s="1382"/>
      <c r="W188" s="1652"/>
      <c r="X188" s="1382"/>
      <c r="Y188" s="1382"/>
      <c r="Z188" s="560"/>
      <c r="AA188" s="1382"/>
      <c r="AB188" s="1382"/>
      <c r="AC188" s="1382"/>
      <c r="AD188" s="1382"/>
      <c r="AE188" s="1382"/>
      <c r="AF188" s="1648"/>
      <c r="AG188" s="638"/>
      <c r="AH188" s="638"/>
      <c r="AI188" s="638"/>
      <c r="AJ188" s="638"/>
      <c r="AK188" s="1657">
        <v>11</v>
      </c>
    </row>
    <row s="1657" customFormat="1" customHeight="1" ht="11.549999999999999">
      <c r="A189" s="1003"/>
      <c r="B189" s="1003"/>
      <c r="C189" s="1003"/>
      <c r="D189" s="1003"/>
      <c r="E189" s="1003"/>
      <c r="F189" s="1652"/>
      <c r="G189" s="1652"/>
      <c r="H189" s="367"/>
      <c r="N189" s="1382"/>
      <c r="P189" s="1382"/>
      <c r="Q189" s="1652"/>
      <c r="R189" s="1652"/>
      <c r="S189" s="1382"/>
      <c r="T189" s="1382"/>
      <c r="U189" s="1382"/>
      <c r="V189" s="1382"/>
      <c r="W189" s="1652"/>
      <c r="X189" s="1382"/>
      <c r="Y189" s="1382"/>
      <c r="Z189" s="560"/>
      <c r="AA189" s="1382"/>
      <c r="AB189" s="1382"/>
      <c r="AC189" s="1382"/>
      <c r="AD189" s="1382"/>
      <c r="AE189" s="1382"/>
      <c r="AF189" s="1648"/>
      <c r="AG189" s="638"/>
      <c r="AH189" s="638"/>
      <c r="AI189" s="638"/>
      <c r="AJ189" s="638"/>
      <c r="AK189" s="1657">
        <v>11</v>
      </c>
    </row>
    <row customHeight="1" ht="11.549999999999999">
      <c r="AK190" s="1647">
        <v>11</v>
      </c>
    </row>
    <row customHeight="1" ht="11.549999999999999">
      <c r="AK191" s="1647">
        <v>11</v>
      </c>
    </row>
    <row customHeight="1" ht="11.549999999999999">
      <c r="AK192" s="1647">
        <v>11</v>
      </c>
    </row>
    <row customHeight="1" ht="11.549999999999999">
      <c r="A193" s="1006"/>
      <c r="B193" s="1006"/>
      <c r="C193" s="1006"/>
      <c r="D193" s="1006"/>
      <c r="E193" s="1006"/>
      <c r="F193" s="1647"/>
      <c r="H193" s="1647"/>
      <c r="N193" s="1647"/>
      <c r="P193" s="1647"/>
      <c r="S193" s="1647"/>
      <c r="T193" s="1647"/>
      <c r="U193" s="1647"/>
      <c r="V193" s="1647"/>
      <c r="X193" s="1647"/>
      <c r="Y193" s="1647"/>
      <c r="Z193" s="1647"/>
      <c r="AA193" s="1647"/>
      <c r="AB193" s="1647"/>
      <c r="AC193" s="1647"/>
      <c r="AD193" s="1647"/>
      <c r="AE193" s="1647"/>
      <c r="AF193" s="1647"/>
      <c r="AG193" s="1647"/>
      <c r="AH193" s="1647"/>
      <c r="AI193" s="1647"/>
      <c r="AJ193" s="1647"/>
      <c r="AK193" s="1647">
        <v>11</v>
      </c>
    </row>
    <row customHeight="1" ht="11.549999999999999">
      <c r="A194" s="1006"/>
      <c r="B194" s="1006"/>
      <c r="C194" s="1006"/>
      <c r="D194" s="1006"/>
      <c r="E194" s="1006"/>
      <c r="F194" s="1647"/>
      <c r="H194" s="1647"/>
      <c r="N194" s="1647"/>
      <c r="P194" s="1647"/>
      <c r="S194" s="1647"/>
      <c r="T194" s="1647"/>
      <c r="U194" s="1647"/>
      <c r="V194" s="1647"/>
      <c r="X194" s="1647"/>
      <c r="Y194" s="1647"/>
      <c r="Z194" s="1647"/>
      <c r="AA194" s="1647"/>
      <c r="AB194" s="1647"/>
      <c r="AC194" s="1647"/>
      <c r="AD194" s="1647"/>
      <c r="AE194" s="1647"/>
      <c r="AF194" s="1647"/>
      <c r="AG194" s="1647"/>
      <c r="AH194" s="1647"/>
      <c r="AI194" s="1647"/>
      <c r="AJ194" s="1647"/>
      <c r="AK194" s="1647">
        <v>11</v>
      </c>
    </row>
    <row customHeight="1" ht="11.549999999999999">
      <c r="A195" s="1006"/>
      <c r="B195" s="1006"/>
      <c r="C195" s="1006"/>
      <c r="D195" s="1006"/>
      <c r="E195" s="1006"/>
      <c r="F195" s="1647"/>
      <c r="H195" s="1647"/>
      <c r="N195" s="1647"/>
      <c r="P195" s="1647"/>
      <c r="S195" s="1647"/>
      <c r="T195" s="1647"/>
      <c r="U195" s="1647"/>
      <c r="V195" s="1647"/>
      <c r="X195" s="1647"/>
      <c r="Y195" s="1647"/>
      <c r="Z195" s="1647"/>
      <c r="AA195" s="1647"/>
      <c r="AB195" s="1647"/>
      <c r="AC195" s="1647"/>
      <c r="AD195" s="1647"/>
      <c r="AE195" s="1647"/>
      <c r="AF195" s="1647"/>
      <c r="AG195" s="1647"/>
      <c r="AH195" s="1647"/>
      <c r="AI195" s="1647"/>
      <c r="AJ195" s="1647"/>
      <c r="AK195" s="1647">
        <v>11</v>
      </c>
    </row>
    <row customHeight="1" ht="11.549999999999999">
      <c r="A196" s="1006"/>
      <c r="B196" s="1006"/>
      <c r="C196" s="1006"/>
      <c r="D196" s="1006"/>
      <c r="E196" s="1006"/>
      <c r="F196" s="1647"/>
      <c r="H196" s="1647"/>
      <c r="N196" s="1647"/>
      <c r="P196" s="1647"/>
      <c r="S196" s="1647"/>
      <c r="T196" s="1647"/>
      <c r="U196" s="1647"/>
      <c r="V196" s="1647"/>
      <c r="X196" s="1647"/>
      <c r="Y196" s="1647"/>
      <c r="Z196" s="1647"/>
      <c r="AA196" s="1647"/>
      <c r="AB196" s="1647"/>
      <c r="AC196" s="1647"/>
      <c r="AD196" s="1647"/>
      <c r="AE196" s="1647"/>
      <c r="AF196" s="1647"/>
      <c r="AG196" s="1647"/>
      <c r="AH196" s="1647"/>
      <c r="AI196" s="1647"/>
      <c r="AJ196" s="1647"/>
      <c r="AK196" s="1647">
        <v>11</v>
      </c>
    </row>
    <row customHeight="1" ht="11.549999999999999">
      <c r="A197" s="1006"/>
      <c r="B197" s="1006"/>
      <c r="C197" s="1006"/>
      <c r="D197" s="1006"/>
      <c r="E197" s="1006"/>
      <c r="F197" s="1647"/>
      <c r="H197" s="1647"/>
      <c r="N197" s="1647"/>
      <c r="P197" s="1647"/>
      <c r="S197" s="1647"/>
      <c r="T197" s="1647"/>
      <c r="U197" s="1647"/>
      <c r="V197" s="1647"/>
      <c r="X197" s="1647"/>
      <c r="Y197" s="1647"/>
      <c r="Z197" s="1647"/>
      <c r="AA197" s="1647"/>
      <c r="AB197" s="1647"/>
      <c r="AC197" s="1647"/>
      <c r="AD197" s="1647"/>
      <c r="AE197" s="1647"/>
      <c r="AF197" s="1647"/>
      <c r="AG197" s="1647"/>
      <c r="AH197" s="1647"/>
      <c r="AI197" s="1647"/>
      <c r="AJ197" s="1647"/>
      <c r="AK197" s="1647">
        <v>11</v>
      </c>
    </row>
    <row customHeight="1" ht="11.549999999999999">
      <c r="A198" s="1006"/>
      <c r="B198" s="1006"/>
      <c r="C198" s="1006"/>
      <c r="D198" s="1006"/>
      <c r="E198" s="1006"/>
      <c r="F198" s="1647"/>
      <c r="H198" s="1647"/>
      <c r="N198" s="1647"/>
      <c r="P198" s="1647"/>
      <c r="S198" s="1647"/>
      <c r="T198" s="1647"/>
      <c r="U198" s="1647"/>
      <c r="V198" s="1647"/>
      <c r="X198" s="1647"/>
      <c r="Y198" s="1647"/>
      <c r="Z198" s="1647"/>
      <c r="AA198" s="1647"/>
      <c r="AB198" s="1647"/>
      <c r="AC198" s="1647"/>
      <c r="AD198" s="1647"/>
      <c r="AE198" s="1647"/>
      <c r="AF198" s="1647"/>
      <c r="AG198" s="1647"/>
      <c r="AH198" s="1647"/>
      <c r="AI198" s="1647"/>
      <c r="AJ198" s="1647"/>
      <c r="AK198" s="1647">
        <v>11</v>
      </c>
    </row>
    <row customHeight="1" ht="11.549999999999999">
      <c r="A199" s="1006"/>
      <c r="B199" s="1006"/>
      <c r="C199" s="1006"/>
      <c r="D199" s="1006"/>
      <c r="E199" s="1006"/>
      <c r="F199" s="1647"/>
      <c r="H199" s="1647"/>
      <c r="N199" s="1647"/>
      <c r="P199" s="1647"/>
      <c r="S199" s="1647"/>
      <c r="T199" s="1647"/>
      <c r="U199" s="1647"/>
      <c r="V199" s="1647"/>
      <c r="X199" s="1647"/>
      <c r="Y199" s="1647"/>
      <c r="Z199" s="1647"/>
      <c r="AA199" s="1647"/>
      <c r="AB199" s="1647"/>
      <c r="AC199" s="1647"/>
      <c r="AD199" s="1647"/>
      <c r="AE199" s="1647"/>
      <c r="AF199" s="1647"/>
      <c r="AG199" s="1647"/>
      <c r="AH199" s="1647"/>
      <c r="AI199" s="1647"/>
      <c r="AJ199" s="1647"/>
      <c r="AK199" s="1647">
        <v>11</v>
      </c>
    </row>
    <row customHeight="1" ht="11.549999999999999">
      <c r="A200" s="1006"/>
      <c r="B200" s="1006"/>
      <c r="C200" s="1006"/>
      <c r="D200" s="1006"/>
      <c r="E200" s="1006"/>
      <c r="F200" s="1647"/>
      <c r="H200" s="1647"/>
      <c r="N200" s="1647"/>
      <c r="P200" s="1647"/>
      <c r="S200" s="1647"/>
      <c r="T200" s="1647"/>
      <c r="U200" s="1647"/>
      <c r="V200" s="1647"/>
      <c r="X200" s="1647"/>
      <c r="Y200" s="1647"/>
      <c r="Z200" s="1647"/>
      <c r="AA200" s="1647"/>
      <c r="AB200" s="1647"/>
      <c r="AC200" s="1647"/>
      <c r="AD200" s="1647"/>
      <c r="AE200" s="1647"/>
      <c r="AF200" s="1647"/>
      <c r="AG200" s="1647"/>
      <c r="AH200" s="1647"/>
      <c r="AI200" s="1647"/>
      <c r="AJ200" s="1647"/>
      <c r="AK200" s="1647">
        <v>11</v>
      </c>
    </row>
    <row customHeight="1" ht="11.549999999999999">
      <c r="A201" s="1006"/>
      <c r="B201" s="1006"/>
      <c r="C201" s="1006"/>
      <c r="D201" s="1006"/>
      <c r="E201" s="1006"/>
      <c r="F201" s="1647"/>
      <c r="H201" s="1647"/>
      <c r="N201" s="1647"/>
      <c r="P201" s="1647"/>
      <c r="S201" s="1647"/>
      <c r="T201" s="1647"/>
      <c r="U201" s="1647"/>
      <c r="V201" s="1647"/>
      <c r="X201" s="1647"/>
      <c r="Y201" s="1647"/>
      <c r="Z201" s="1647"/>
      <c r="AA201" s="1647"/>
      <c r="AB201" s="1647"/>
      <c r="AC201" s="1647"/>
      <c r="AD201" s="1647"/>
      <c r="AE201" s="1647"/>
      <c r="AF201" s="1647"/>
      <c r="AG201" s="1647"/>
      <c r="AH201" s="1647"/>
      <c r="AI201" s="1647"/>
      <c r="AJ201" s="1647"/>
      <c r="AK201" s="1647">
        <v>11</v>
      </c>
    </row>
    <row customHeight="1" ht="11.549999999999999">
      <c r="A202" s="1006"/>
      <c r="B202" s="1006"/>
      <c r="C202" s="1006"/>
      <c r="D202" s="1006"/>
      <c r="E202" s="1006"/>
      <c r="F202" s="1647"/>
      <c r="H202" s="1647"/>
      <c r="N202" s="1647"/>
      <c r="P202" s="1647"/>
      <c r="S202" s="1647"/>
      <c r="T202" s="1647"/>
      <c r="U202" s="1647"/>
      <c r="V202" s="1647"/>
      <c r="X202" s="1647"/>
      <c r="Y202" s="1647"/>
      <c r="Z202" s="1647"/>
      <c r="AA202" s="1647"/>
      <c r="AB202" s="1647"/>
      <c r="AC202" s="1647"/>
      <c r="AD202" s="1647"/>
      <c r="AE202" s="1647"/>
      <c r="AF202" s="1647"/>
      <c r="AG202" s="1647"/>
      <c r="AH202" s="1647"/>
      <c r="AI202" s="1647"/>
      <c r="AJ202" s="1647"/>
      <c r="AK202" s="1647">
        <v>11</v>
      </c>
    </row>
    <row customHeight="1" ht="11.549999999999999">
      <c r="A203" s="1006"/>
      <c r="B203" s="1006"/>
      <c r="C203" s="1006"/>
      <c r="D203" s="1006"/>
      <c r="E203" s="1006"/>
      <c r="F203" s="1647"/>
      <c r="H203" s="1647"/>
      <c r="N203" s="1647"/>
      <c r="P203" s="1647"/>
      <c r="S203" s="1647"/>
      <c r="T203" s="1647"/>
      <c r="U203" s="1647"/>
      <c r="V203" s="1647"/>
      <c r="X203" s="1647"/>
      <c r="Y203" s="1647"/>
      <c r="Z203" s="1647"/>
      <c r="AA203" s="1647"/>
      <c r="AB203" s="1647"/>
      <c r="AC203" s="1647"/>
      <c r="AD203" s="1647"/>
      <c r="AE203" s="1647"/>
      <c r="AF203" s="1647"/>
      <c r="AG203" s="1647"/>
      <c r="AH203" s="1647"/>
      <c r="AI203" s="1647"/>
      <c r="AJ203" s="1647"/>
      <c r="AK203" s="1647">
        <v>11</v>
      </c>
    </row>
    <row customHeight="1" ht="12.75" hidden="1">
      <c r="A204" s="1003" t="s">
        <v>85</v>
      </c>
      <c r="B204" s="1003" t="s">
        <v>144</v>
      </c>
      <c r="C204" s="1003" t="s">
        <v>144</v>
      </c>
      <c r="D204" s="1003" t="s">
        <v>144</v>
      </c>
      <c r="E204" s="1003" t="s">
        <v>144</v>
      </c>
      <c r="F204" s="1651">
        <v>16</v>
      </c>
      <c r="G204" s="1652">
        <v>0</v>
      </c>
      <c r="H204" s="1651">
        <v>3</v>
      </c>
      <c r="I204" s="1647">
        <v>7</v>
      </c>
      <c r="J204" s="1647">
        <v>56</v>
      </c>
      <c r="K204" s="1647">
        <v>10</v>
      </c>
      <c r="L204" s="1647">
        <v>40</v>
      </c>
      <c r="M204" s="1647">
        <v>40</v>
      </c>
      <c r="N204" s="1382">
        <v>9</v>
      </c>
      <c r="O204" s="1647">
        <v>102</v>
      </c>
      <c r="P204" s="1382">
        <v>9</v>
      </c>
      <c r="Q204" s="1652">
        <v>5</v>
      </c>
      <c r="R204" s="1652">
        <v>3</v>
      </c>
      <c r="S204" s="1382">
        <v>3</v>
      </c>
      <c r="T204" s="1382">
        <v>3</v>
      </c>
      <c r="U204" s="1382">
        <v>3</v>
      </c>
      <c r="V204" s="1382">
        <v>3</v>
      </c>
      <c r="W204" s="1652">
        <v>10</v>
      </c>
      <c r="X204" s="1382">
        <v>34</v>
      </c>
      <c r="Y204" s="1382">
        <v>9</v>
      </c>
      <c r="Z204" s="560">
        <v>8</v>
      </c>
      <c r="AA204" s="1382">
        <v>8</v>
      </c>
      <c r="AB204" s="1382">
        <v>8</v>
      </c>
      <c r="AC204" s="1382">
        <v>8</v>
      </c>
      <c r="AD204" s="1382">
        <v>8</v>
      </c>
      <c r="AE204" s="1382">
        <v>8</v>
      </c>
      <c r="AF204" s="1648">
        <v>8</v>
      </c>
      <c r="AG204" s="1648">
        <v>8</v>
      </c>
      <c r="AH204" s="1648">
        <v>8</v>
      </c>
      <c r="AI204" s="1648">
        <v>8</v>
      </c>
      <c r="AJ204" s="1648">
        <v>8</v>
      </c>
      <c r="AK204" s="164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C2F66-B555-0846-276A-4456856F64D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51" width="10.57421875" hidden="1"/>
    <col min="5" max="5" style="2413" width="9.140625" hidden="1" customWidth="1"/>
    <col min="6" max="7" style="1382" width="9.140625" hidden="1" customWidth="1"/>
    <col min="8" max="8" style="360" width="3.00390625" customWidth="1"/>
    <col min="9" max="9" style="1651" width="6.00390625" customWidth="1"/>
    <col min="10" max="10" style="1651" width="63.00390625" customWidth="1"/>
    <col min="11" max="11" style="1651" width="9.00390625" customWidth="1"/>
    <col min="12" max="12" style="1651" width="39.00390625" customWidth="1"/>
    <col min="13" max="13" style="1651" width="89.00390625" customWidth="1"/>
    <col min="14" max="14" style="1651" width="10.00390625" customWidth="1"/>
    <col min="15" max="16" style="1640" width="10.00390625" customWidth="1"/>
    <col min="17" max="22" style="1651" width="10.00390625" customWidth="1"/>
    <col min="23" max="23" style="1651" width="10.57421875" hidden="1"/>
  </cols>
  <sheetData>
    <row customHeight="1" ht="22.5" hidden="1">
      <c r="S1" s="271"/>
      <c r="T1" s="271"/>
      <c r="V1" s="271"/>
      <c r="W1" s="1647" t="s">
        <v>14</v>
      </c>
    </row>
    <row customHeight="1" ht="22.5" hidden="1">
      <c r="B2" s="2069" t="s">
        <v>840</v>
      </c>
      <c r="C2" s="2069" t="s">
        <v>841</v>
      </c>
      <c r="D2" s="2068" t="s">
        <v>780</v>
      </c>
      <c r="E2" s="2074">
        <f>I2-3</f>
        <v>-3</v>
      </c>
      <c r="F2" s="2074">
        <f>J2</f>
        <v>0</v>
      </c>
      <c r="H2" s="1746" t="s">
        <v>108</v>
      </c>
      <c r="I2" s="2040"/>
      <c r="J2" s="1698"/>
      <c r="K2" s="2034" t="s">
        <v>459</v>
      </c>
      <c r="L2" s="1180"/>
      <c r="M2" s="313"/>
      <c r="N2" s="1640"/>
      <c r="P2" s="1647"/>
      <c r="W2" s="1647">
        <v>0</v>
      </c>
    </row>
    <row customHeight="1" ht="14.25" hidden="1">
      <c r="W3" s="1647">
        <v>0</v>
      </c>
    </row>
    <row customHeight="1" ht="6.3">
      <c r="H4" s="392"/>
      <c r="I4" s="473"/>
      <c r="J4" s="473"/>
      <c r="K4" s="473"/>
      <c r="L4" s="101"/>
      <c r="M4" s="101"/>
      <c r="W4" s="1647">
        <v>6</v>
      </c>
    </row>
    <row customHeight="1" ht="50.25">
      <c r="H5" s="392"/>
      <c r="I5" s="2264" t="s">
        <v>842</v>
      </c>
      <c r="J5" s="2264"/>
      <c r="K5" s="2264"/>
      <c r="L5" s="2264"/>
      <c r="M5" s="282"/>
      <c r="W5" s="1647">
        <v>48</v>
      </c>
    </row>
    <row customHeight="1" ht="18">
      <c r="H6" s="392"/>
      <c r="I6" s="2265" t="str">
        <f>IF(org=0,"Не определено",org)</f>
        <v>КГУП "Примтеплоэнерго"</v>
      </c>
      <c r="J6" s="2265"/>
      <c r="K6" s="2265"/>
      <c r="L6" s="2265"/>
      <c r="M6" s="282"/>
      <c r="W6" s="1647">
        <v>17</v>
      </c>
    </row>
    <row customHeight="1" ht="14.699999999999998">
      <c r="H7" s="392"/>
      <c r="I7" s="473"/>
      <c r="J7" s="479"/>
      <c r="K7" s="479"/>
      <c r="L7" s="768"/>
      <c r="M7" s="209"/>
      <c r="W7" s="1647">
        <v>14</v>
      </c>
    </row>
    <row customHeight="1" ht="14.699999999999998">
      <c r="H8" s="392"/>
      <c r="I8" s="2402" t="s">
        <v>453</v>
      </c>
      <c r="J8" s="2403"/>
      <c r="K8" s="2403"/>
      <c r="L8" s="2404"/>
      <c r="M8" s="2405" t="s">
        <v>454</v>
      </c>
      <c r="W8" s="1647">
        <v>14</v>
      </c>
    </row>
    <row customHeight="1" ht="35.699999999999996">
      <c r="E9" s="2067" t="s">
        <v>771</v>
      </c>
      <c r="F9" s="2067" t="s">
        <v>777</v>
      </c>
      <c r="H9" s="392"/>
      <c r="I9" s="2041" t="s">
        <v>91</v>
      </c>
      <c r="J9" s="2042" t="s">
        <v>455</v>
      </c>
      <c r="K9" s="2080" t="s">
        <v>719</v>
      </c>
      <c r="L9" s="2081" t="s">
        <v>456</v>
      </c>
      <c r="M9" s="2405"/>
      <c r="W9" s="1647">
        <v>34</v>
      </c>
    </row>
    <row customHeight="1" ht="35.699999999999996">
      <c r="B10" s="2069" t="s">
        <v>843</v>
      </c>
      <c r="C10" s="2069" t="s">
        <v>844</v>
      </c>
      <c r="D10" s="2068" t="s">
        <v>780</v>
      </c>
      <c r="E10" s="2072" t="s">
        <v>781</v>
      </c>
      <c r="F10" s="2072" t="s">
        <v>781</v>
      </c>
      <c r="H10" s="392"/>
      <c r="I10" s="2040" t="s">
        <v>141</v>
      </c>
      <c r="J10" s="1902" t="s">
        <v>845</v>
      </c>
      <c r="K10" s="2034" t="s">
        <v>459</v>
      </c>
      <c r="L10" s="834"/>
      <c r="M10" s="313" t="s">
        <v>846</v>
      </c>
      <c r="W10" s="1647">
        <v>34</v>
      </c>
    </row>
    <row customHeight="1" ht="50.25">
      <c r="B11" s="2069" t="s">
        <v>847</v>
      </c>
      <c r="C11" s="2069" t="s">
        <v>848</v>
      </c>
      <c r="D11" s="2068" t="s">
        <v>780</v>
      </c>
      <c r="E11" s="2072" t="s">
        <v>781</v>
      </c>
      <c r="F11" s="2072" t="s">
        <v>781</v>
      </c>
      <c r="H11" s="392"/>
      <c r="I11" s="2040" t="s">
        <v>107</v>
      </c>
      <c r="J11" s="1902" t="s">
        <v>849</v>
      </c>
      <c r="K11" s="2034" t="s">
        <v>459</v>
      </c>
      <c r="L11" s="834"/>
      <c r="M11" s="313" t="s">
        <v>846</v>
      </c>
      <c r="W11" s="1647">
        <v>48</v>
      </c>
    </row>
    <row customHeight="1" ht="48.29999999999999">
      <c r="B12" s="2069" t="s">
        <v>850</v>
      </c>
      <c r="C12" s="2069" t="s">
        <v>851</v>
      </c>
      <c r="D12" s="2068" t="s">
        <v>780</v>
      </c>
      <c r="E12" s="2072" t="s">
        <v>781</v>
      </c>
      <c r="F12" s="2072" t="s">
        <v>781</v>
      </c>
      <c r="H12" s="1704"/>
      <c r="I12" s="2040" t="s">
        <v>93</v>
      </c>
      <c r="J12" s="2047" t="s">
        <v>852</v>
      </c>
      <c r="K12" s="2034" t="s">
        <v>459</v>
      </c>
      <c r="L12" s="834"/>
      <c r="M12" s="313" t="s">
        <v>853</v>
      </c>
      <c r="N12" s="1640"/>
      <c r="P12" s="1647"/>
      <c r="W12" s="1647">
        <v>46</v>
      </c>
    </row>
    <row customHeight="1" ht="14.699999999999998">
      <c r="E13" s="359"/>
      <c r="H13" s="392"/>
      <c r="I13" s="363"/>
      <c r="J13" s="667" t="s">
        <v>854</v>
      </c>
      <c r="K13" s="587"/>
      <c r="L13" s="230"/>
      <c r="M13" s="313"/>
      <c r="W13" s="1647">
        <v>14</v>
      </c>
    </row>
    <row customHeight="1" ht="14.699999999999998">
      <c r="E14" s="359"/>
      <c r="H14" s="392"/>
      <c r="I14" s="1073"/>
      <c r="J14" s="1693"/>
      <c r="K14" s="1694"/>
      <c r="L14" s="1695"/>
      <c r="M14" s="2044"/>
      <c r="W14" s="1647">
        <v>14</v>
      </c>
    </row>
    <row customHeight="1" ht="14.699999999999998">
      <c r="I15" s="1697"/>
      <c r="J15" s="2401"/>
      <c r="K15" s="2401"/>
      <c r="L15" s="2401"/>
      <c r="M15" s="2401"/>
      <c r="W15" s="1647">
        <v>14</v>
      </c>
    </row>
    <row customHeight="1" ht="21" hidden="1">
      <c r="A16" s="2046" t="s">
        <v>85</v>
      </c>
      <c r="B16" s="1647">
        <v>9</v>
      </c>
      <c r="C16" s="1647">
        <v>9</v>
      </c>
      <c r="D16" s="1647">
        <v>9</v>
      </c>
      <c r="E16" s="2046" t="s">
        <v>139</v>
      </c>
      <c r="F16" s="2071" t="s">
        <v>139</v>
      </c>
      <c r="G16" s="2073"/>
      <c r="H16" s="360">
        <v>3</v>
      </c>
      <c r="I16" s="1647">
        <v>6</v>
      </c>
      <c r="J16" s="1647">
        <v>63</v>
      </c>
      <c r="K16" s="1647">
        <v>9</v>
      </c>
      <c r="L16" s="1647">
        <v>39</v>
      </c>
      <c r="M16" s="1647">
        <v>89</v>
      </c>
      <c r="N16" s="1647">
        <v>10</v>
      </c>
      <c r="O16" s="1640">
        <v>10</v>
      </c>
      <c r="P16" s="1640">
        <v>10</v>
      </c>
      <c r="Q16" s="1647">
        <v>10</v>
      </c>
      <c r="R16" s="1647">
        <v>10</v>
      </c>
      <c r="S16" s="1647">
        <v>10</v>
      </c>
      <c r="T16" s="1647">
        <v>10</v>
      </c>
      <c r="U16" s="1647">
        <v>10</v>
      </c>
      <c r="V16" s="1647">
        <v>10</v>
      </c>
      <c r="W16" s="164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46C2E-EB4A-9A1F-0FAE-47631756B96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03" width="10.7109375" hidden="1" customWidth="1"/>
    <col min="2" max="2" style="1382" width="16.8515625" hidden="1" customWidth="1"/>
    <col min="3" max="3" style="1658" width="5.57421875" hidden="1" customWidth="1"/>
    <col min="4" max="4" style="1651" width="3.00390625" customWidth="1"/>
    <col min="5" max="5" style="1651" width="7.00390625" customWidth="1"/>
    <col min="6" max="6" style="1651" width="56.00390625" customWidth="1"/>
    <col min="7" max="7" style="1651" width="10.00390625" customWidth="1"/>
    <col min="8" max="8" style="1651" width="40.7109375" hidden="1" customWidth="1"/>
    <col min="9" max="9" style="1651" width="40.00390625" customWidth="1"/>
    <col min="10" max="10" style="1651" width="102.00390625" customWidth="1"/>
    <col min="11" max="11" style="1382" width="9.00390625" customWidth="1"/>
    <col min="12" max="12" style="1658" width="5.00390625" customWidth="1"/>
    <col min="13" max="13" style="1658" width="3.00390625" customWidth="1"/>
    <col min="14" max="17" style="1382" width="3.00390625" customWidth="1"/>
    <col min="18" max="18" style="1658" width="10.00390625" customWidth="1"/>
    <col min="19" max="19" style="1382" width="34.00390625" customWidth="1"/>
    <col min="20" max="20" style="1382" width="9.00390625" customWidth="1"/>
    <col min="21" max="21" style="752" width="8.00390625" customWidth="1"/>
    <col min="22" max="26" style="1382" width="8.00390625" customWidth="1"/>
    <col min="27" max="31" style="1648" width="8.00390625" customWidth="1"/>
    <col min="32" max="32" style="1651" width="10.421875" hidden="1" customWidth="1"/>
  </cols>
  <sheetData>
    <row s="1382" customFormat="1" customHeight="1" ht="22.5" hidden="1">
      <c r="A1" s="1003"/>
      <c r="C1" s="1652"/>
      <c r="D1" s="553"/>
      <c r="H1" s="1176">
        <v>4</v>
      </c>
      <c r="I1" s="1176">
        <v>4</v>
      </c>
      <c r="L1" s="1652"/>
      <c r="M1" s="1652"/>
      <c r="R1" s="1652"/>
      <c r="AF1" s="1176" t="s">
        <v>14</v>
      </c>
    </row>
    <row s="1382" customFormat="1" customHeight="1" ht="22.5" hidden="1">
      <c r="A2" s="1003"/>
      <c r="C2" s="1652"/>
      <c r="D2" s="554"/>
      <c r="E2" s="1653"/>
      <c r="F2" s="556"/>
      <c r="G2" s="1655" t="s">
        <v>705</v>
      </c>
      <c r="H2" s="557"/>
      <c r="I2" s="557"/>
      <c r="J2" s="558" t="s">
        <v>855</v>
      </c>
      <c r="K2" s="559"/>
      <c r="L2" s="1652"/>
      <c r="M2" s="1652"/>
      <c r="R2" s="1652"/>
      <c r="U2" s="560"/>
      <c r="AA2" s="1648"/>
      <c r="AB2" s="1648"/>
      <c r="AC2" s="1648"/>
      <c r="AD2" s="1648"/>
      <c r="AE2" s="1648"/>
      <c r="AF2" s="1176">
        <v>0</v>
      </c>
    </row>
    <row customHeight="1" ht="11.25" hidden="1">
      <c r="AF3" s="1647">
        <v>0</v>
      </c>
    </row>
    <row s="1648" customFormat="1" customHeight="1" ht="11.25" hidden="1">
      <c r="A4" s="1003"/>
      <c r="B4" s="1176"/>
      <c r="C4" s="1652"/>
      <c r="D4" s="378"/>
      <c r="J4" s="1648">
        <v>4</v>
      </c>
      <c r="K4" s="1176"/>
      <c r="L4" s="1652"/>
      <c r="M4" s="1652"/>
      <c r="N4" s="1176"/>
      <c r="O4" s="1176"/>
      <c r="P4" s="1176"/>
      <c r="Q4" s="1176"/>
      <c r="R4" s="1652"/>
      <c r="S4" s="1176"/>
      <c r="T4" s="1176"/>
      <c r="U4" s="560"/>
      <c r="V4" s="1176"/>
      <c r="W4" s="1176"/>
      <c r="X4" s="1176"/>
      <c r="Y4" s="1176"/>
      <c r="Z4" s="1176"/>
      <c r="AF4" s="1648">
        <v>0</v>
      </c>
    </row>
    <row customHeight="1" ht="11.549999999999999">
      <c r="AF5" s="1647">
        <v>11</v>
      </c>
    </row>
    <row customHeight="1" ht="31.5">
      <c r="E6" s="2323" t="s">
        <v>856</v>
      </c>
      <c r="F6" s="2323"/>
      <c r="G6" s="2323"/>
      <c r="H6" s="2323"/>
      <c r="I6" s="2323"/>
      <c r="J6" s="572"/>
      <c r="AF6" s="1647">
        <v>30</v>
      </c>
    </row>
    <row customHeight="1" ht="11.549999999999999">
      <c r="E7" s="2265" t="str">
        <f>IF(org=0,"Не определено",org)</f>
        <v>КГУП "Примтеплоэнерго"</v>
      </c>
      <c r="F7" s="2265"/>
      <c r="G7" s="2265"/>
      <c r="H7" s="2265"/>
      <c r="I7" s="2265"/>
      <c r="AF7" s="1647">
        <v>11</v>
      </c>
    </row>
    <row customHeight="1" ht="11.549999999999999">
      <c r="E8" s="1151"/>
      <c r="F8" s="1151"/>
      <c r="G8" s="1151"/>
      <c r="H8" s="1151"/>
      <c r="I8" s="1151"/>
      <c r="AF8" s="1647">
        <v>11</v>
      </c>
    </row>
    <row s="1658" customFormat="1" customHeight="1" ht="4.2">
      <c r="A9" s="1183"/>
      <c r="D9" s="1658"/>
      <c r="H9" s="905"/>
      <c r="I9" s="905" t="s">
        <v>186</v>
      </c>
      <c r="AF9" s="1652">
        <v>4</v>
      </c>
    </row>
    <row customHeight="1" ht="11.549999999999999">
      <c r="E10" s="727"/>
      <c r="F10" s="2383" t="s">
        <v>178</v>
      </c>
      <c r="G10" s="2384"/>
      <c r="H10" s="1568" t="str">
        <f>IF(H9="","",INDEX(DIFFERENTIATION_UNMERGE_VD,MATCH(H9,DIFFERENTIATION_ID_DIFF,0)))</f>
        <v/>
      </c>
      <c r="I10" s="1568">
        <f>IF(I9="","",INDEX(DIFFERENTIATION_UNMERGE_VD,MATCH(I9,DIFFERENTIATION_ID_DIFF,0)))</f>
        <v>0</v>
      </c>
      <c r="J10" s="2143"/>
      <c r="AF10" s="1647">
        <v>11</v>
      </c>
    </row>
    <row customHeight="1" ht="11.549999999999999">
      <c r="E11" s="727"/>
      <c r="F11" s="2383" t="s">
        <v>717</v>
      </c>
      <c r="G11" s="2384"/>
      <c r="H11" s="1568" t="str">
        <f>IF(H9="","",INDEX(DIFFERENTIATION_UNMERGE_AREA,MATCH(H9,DIFFERENTIATION_ID_DIFF,0)))</f>
        <v/>
      </c>
      <c r="I11" s="1568" t="str">
        <f>IF(I9="","",INDEX(DIFFERENTIATION_UNMERGE_AREA,MATCH(I9,DIFFERENTIATION_ID_DIFF,0)))</f>
        <v/>
      </c>
      <c r="J11" s="2143"/>
      <c r="AF11" s="1647">
        <v>11</v>
      </c>
    </row>
    <row customHeight="1" ht="1.05">
      <c r="E12" s="1678"/>
      <c r="F12" s="2406" t="s">
        <v>718</v>
      </c>
      <c r="G12" s="2407"/>
      <c r="H12" s="1679" t="str">
        <f>IF(H9="","",INDEX(DIFFERENTIATION_UNMERGE_SYSTEM,MATCH(H9,DIFFERENTIATION_ID_DIFF,0)))</f>
        <v/>
      </c>
      <c r="I12" s="1679" t="str">
        <f>IF(I9="","",INDEX(DIFFERENTIATION_UNMERGE_SYSTEM,MATCH(I9,DIFFERENTIATION_ID_DIFF,0)))</f>
        <v>без дифференциации</v>
      </c>
      <c r="J12" s="2143"/>
      <c r="AF12" s="1647">
        <v>1</v>
      </c>
    </row>
    <row customHeight="1" ht="11.549999999999999">
      <c r="E13" s="2385" t="s">
        <v>453</v>
      </c>
      <c r="F13" s="2386"/>
      <c r="G13" s="2386"/>
      <c r="H13" s="1567"/>
      <c r="I13" s="1567"/>
      <c r="J13" s="2143"/>
      <c r="AF13" s="1647">
        <v>11</v>
      </c>
    </row>
    <row customHeight="1" ht="24">
      <c r="E14" s="1655" t="s">
        <v>91</v>
      </c>
      <c r="F14" s="1650" t="s">
        <v>455</v>
      </c>
      <c r="G14" s="1650" t="s">
        <v>719</v>
      </c>
      <c r="H14" s="1650" t="s">
        <v>456</v>
      </c>
      <c r="I14" s="1650" t="s">
        <v>456</v>
      </c>
      <c r="J14" s="2143"/>
      <c r="AF14" s="1647">
        <v>23</v>
      </c>
    </row>
    <row customHeight="1" ht="19.95">
      <c r="D15" s="1654"/>
      <c r="E15" s="1646" t="s">
        <v>141</v>
      </c>
      <c r="F15" s="723" t="s">
        <v>857</v>
      </c>
      <c r="G15" s="1662" t="s">
        <v>705</v>
      </c>
      <c r="H15" s="573"/>
      <c r="I15" s="573"/>
      <c r="J15" s="305" t="s">
        <v>858</v>
      </c>
      <c r="K15" s="559" t="s">
        <v>783</v>
      </c>
      <c r="AF15" s="1647">
        <v>19</v>
      </c>
    </row>
    <row customHeight="1" ht="35.699999999999996">
      <c r="D16" s="1654"/>
      <c r="E16" s="1646" t="s">
        <v>107</v>
      </c>
      <c r="F16" s="723" t="s">
        <v>859</v>
      </c>
      <c r="G16" s="1662" t="s">
        <v>705</v>
      </c>
      <c r="H16" s="574">
        <f>SUM(H17,H20:H32)</f>
        <v>0</v>
      </c>
      <c r="I16" s="574">
        <f>SUM(I17,I20,I23,I26,I29:I32)</f>
        <v>0</v>
      </c>
      <c r="J16" s="305" t="s">
        <v>860</v>
      </c>
      <c r="K16" s="559" t="s">
        <v>783</v>
      </c>
      <c r="AF16" s="1647">
        <v>34</v>
      </c>
    </row>
    <row customHeight="1" ht="19.95">
      <c r="D17" s="1654"/>
      <c r="E17" s="1680" t="s">
        <v>861</v>
      </c>
      <c r="F17" s="970" t="s">
        <v>862</v>
      </c>
      <c r="G17" s="1659" t="s">
        <v>705</v>
      </c>
      <c r="H17" s="573"/>
      <c r="I17" s="573"/>
      <c r="J17" s="305" t="s">
        <v>863</v>
      </c>
      <c r="K17" s="559"/>
      <c r="AF17" s="1647">
        <v>19</v>
      </c>
    </row>
    <row customHeight="1" ht="24">
      <c r="D18" s="1654"/>
      <c r="E18" s="1680" t="s">
        <v>864</v>
      </c>
      <c r="F18" s="1666" t="s">
        <v>865</v>
      </c>
      <c r="G18" s="1659" t="s">
        <v>705</v>
      </c>
      <c r="H18" s="573"/>
      <c r="I18" s="573"/>
      <c r="J18" s="305" t="s">
        <v>866</v>
      </c>
      <c r="K18" s="559"/>
      <c r="AF18" s="1647">
        <v>23</v>
      </c>
    </row>
    <row customHeight="1" ht="35.699999999999996">
      <c r="D19" s="1654"/>
      <c r="E19" s="1680" t="s">
        <v>867</v>
      </c>
      <c r="F19" s="1666" t="s">
        <v>868</v>
      </c>
      <c r="G19" s="1659" t="s">
        <v>705</v>
      </c>
      <c r="H19" s="573"/>
      <c r="I19" s="573"/>
      <c r="J19" s="305"/>
      <c r="K19" s="559"/>
      <c r="AF19" s="1647">
        <v>34</v>
      </c>
    </row>
    <row customHeight="1" ht="19.95">
      <c r="D20" s="1654"/>
      <c r="E20" s="1680" t="s">
        <v>460</v>
      </c>
      <c r="F20" s="970" t="s">
        <v>869</v>
      </c>
      <c r="G20" s="1659" t="s">
        <v>705</v>
      </c>
      <c r="H20" s="573"/>
      <c r="I20" s="573"/>
      <c r="J20" s="305" t="s">
        <v>870</v>
      </c>
      <c r="K20" s="559"/>
      <c r="AF20" s="1647">
        <v>19</v>
      </c>
    </row>
    <row customHeight="1" ht="19.95">
      <c r="D21" s="1654"/>
      <c r="E21" s="1680" t="s">
        <v>871</v>
      </c>
      <c r="F21" s="1666" t="s">
        <v>872</v>
      </c>
      <c r="G21" s="1659" t="s">
        <v>705</v>
      </c>
      <c r="H21" s="573"/>
      <c r="I21" s="573"/>
      <c r="J21" s="305"/>
      <c r="K21" s="559"/>
      <c r="AF21" s="1647">
        <v>19</v>
      </c>
    </row>
    <row customHeight="1" ht="19.95">
      <c r="D22" s="1654"/>
      <c r="E22" s="1680" t="s">
        <v>873</v>
      </c>
      <c r="F22" s="1666" t="s">
        <v>874</v>
      </c>
      <c r="G22" s="1659" t="s">
        <v>705</v>
      </c>
      <c r="H22" s="573"/>
      <c r="I22" s="573"/>
      <c r="J22" s="305"/>
      <c r="K22" s="559"/>
      <c r="AF22" s="1647">
        <v>19</v>
      </c>
    </row>
    <row customHeight="1" ht="24">
      <c r="D23" s="1654"/>
      <c r="E23" s="1680" t="s">
        <v>463</v>
      </c>
      <c r="F23" s="970" t="s">
        <v>875</v>
      </c>
      <c r="G23" s="1659" t="s">
        <v>705</v>
      </c>
      <c r="H23" s="573"/>
      <c r="I23" s="573"/>
      <c r="J23" s="305" t="s">
        <v>876</v>
      </c>
      <c r="K23" s="559"/>
      <c r="AF23" s="1647">
        <v>23</v>
      </c>
    </row>
    <row customHeight="1" ht="19.95">
      <c r="D24" s="1654"/>
      <c r="E24" s="1680" t="s">
        <v>877</v>
      </c>
      <c r="F24" s="1666" t="s">
        <v>878</v>
      </c>
      <c r="G24" s="1659" t="s">
        <v>705</v>
      </c>
      <c r="H24" s="573"/>
      <c r="I24" s="573"/>
      <c r="J24" s="305"/>
      <c r="K24" s="559"/>
      <c r="AF24" s="1647">
        <v>19</v>
      </c>
    </row>
    <row customHeight="1" ht="35.699999999999996">
      <c r="D25" s="1654"/>
      <c r="E25" s="1680" t="s">
        <v>879</v>
      </c>
      <c r="F25" s="1666" t="s">
        <v>880</v>
      </c>
      <c r="G25" s="1659" t="s">
        <v>705</v>
      </c>
      <c r="H25" s="573"/>
      <c r="I25" s="573"/>
      <c r="J25" s="305"/>
      <c r="K25" s="559"/>
      <c r="AF25" s="1647">
        <v>34</v>
      </c>
    </row>
    <row customHeight="1" ht="24">
      <c r="D26" s="1654"/>
      <c r="E26" s="1680" t="s">
        <v>881</v>
      </c>
      <c r="F26" s="970" t="s">
        <v>882</v>
      </c>
      <c r="G26" s="1659" t="s">
        <v>705</v>
      </c>
      <c r="H26" s="573"/>
      <c r="I26" s="573"/>
      <c r="J26" s="305" t="s">
        <v>883</v>
      </c>
      <c r="K26" s="559"/>
      <c r="AF26" s="1647">
        <v>23</v>
      </c>
    </row>
    <row customHeight="1" ht="19.95">
      <c r="D27" s="1654"/>
      <c r="E27" s="1691" t="s">
        <v>884</v>
      </c>
      <c r="F27" s="1666" t="s">
        <v>885</v>
      </c>
      <c r="G27" s="1670" t="s">
        <v>705</v>
      </c>
      <c r="H27" s="1692"/>
      <c r="I27" s="1692"/>
      <c r="J27" s="305"/>
      <c r="K27" s="559"/>
      <c r="AF27" s="1647">
        <v>19</v>
      </c>
    </row>
    <row customHeight="1" ht="19.95">
      <c r="D28" s="1654"/>
      <c r="E28" s="1691" t="s">
        <v>886</v>
      </c>
      <c r="F28" s="1666" t="s">
        <v>887</v>
      </c>
      <c r="G28" s="1670" t="s">
        <v>705</v>
      </c>
      <c r="H28" s="1692"/>
      <c r="I28" s="1692"/>
      <c r="J28" s="305"/>
      <c r="K28" s="559"/>
      <c r="AF28" s="1647">
        <v>19</v>
      </c>
    </row>
    <row customHeight="1" ht="19.95">
      <c r="D29" s="1654"/>
      <c r="E29" s="1691" t="s">
        <v>888</v>
      </c>
      <c r="F29" s="970" t="s">
        <v>889</v>
      </c>
      <c r="G29" s="1670" t="s">
        <v>705</v>
      </c>
      <c r="H29" s="1692"/>
      <c r="I29" s="1692"/>
      <c r="J29" s="305"/>
      <c r="K29" s="559"/>
      <c r="AF29" s="1647">
        <v>19</v>
      </c>
    </row>
    <row customHeight="1" ht="19.95">
      <c r="D30" s="1654"/>
      <c r="E30" s="1691" t="s">
        <v>890</v>
      </c>
      <c r="F30" s="970" t="s">
        <v>891</v>
      </c>
      <c r="G30" s="1670" t="s">
        <v>705</v>
      </c>
      <c r="H30" s="1692"/>
      <c r="I30" s="1692"/>
      <c r="J30" s="305"/>
      <c r="K30" s="559"/>
      <c r="AF30" s="1647">
        <v>19</v>
      </c>
    </row>
    <row customHeight="1" ht="19.95">
      <c r="D31" s="1654"/>
      <c r="E31" s="1691" t="s">
        <v>892</v>
      </c>
      <c r="F31" s="970" t="s">
        <v>893</v>
      </c>
      <c r="G31" s="1670" t="s">
        <v>705</v>
      </c>
      <c r="H31" s="1692"/>
      <c r="I31" s="1692"/>
      <c r="J31" s="305"/>
      <c r="K31" s="559"/>
      <c r="AF31" s="1647">
        <v>19</v>
      </c>
    </row>
    <row s="1382" customFormat="1" customHeight="1" ht="35.699999999999996">
      <c r="A32" s="1003"/>
      <c r="C32" s="1652"/>
      <c r="D32" s="1654"/>
      <c r="E32" s="1691" t="s">
        <v>894</v>
      </c>
      <c r="F32" s="970" t="s">
        <v>895</v>
      </c>
      <c r="G32" s="1660" t="s">
        <v>705</v>
      </c>
      <c r="H32" s="595">
        <f>SUM(H33:H34)</f>
        <v>0</v>
      </c>
      <c r="I32" s="595">
        <f>SUM(I33:I34)</f>
        <v>0</v>
      </c>
      <c r="J32" s="305" t="s">
        <v>896</v>
      </c>
      <c r="K32" s="559"/>
      <c r="L32" s="1652"/>
      <c r="M32" s="1652"/>
      <c r="R32" s="1652"/>
      <c r="U32" s="560"/>
      <c r="AA32" s="1648"/>
      <c r="AB32" s="1648"/>
      <c r="AC32" s="1648"/>
      <c r="AD32" s="1648"/>
      <c r="AE32" s="1648"/>
      <c r="AF32" s="1176">
        <v>34</v>
      </c>
    </row>
    <row s="1658" customFormat="1" customHeight="1" ht="1.05">
      <c r="A33" s="1183"/>
      <c r="D33" s="564"/>
      <c r="E33" s="818" t="str">
        <f>E32&amp;".0"</f>
        <v>2.8.0</v>
      </c>
      <c r="F33" s="1007"/>
      <c r="G33" s="567"/>
      <c r="H33" s="1008"/>
      <c r="I33" s="1008"/>
      <c r="J33" s="1009"/>
      <c r="AF33" s="1652">
        <v>1</v>
      </c>
    </row>
    <row s="1382" customFormat="1" customHeight="1" ht="19.95">
      <c r="A34" s="1003"/>
      <c r="C34" s="1652"/>
      <c r="D34" s="1649"/>
      <c r="E34" s="586"/>
      <c r="F34" s="1682" t="s">
        <v>730</v>
      </c>
      <c r="G34" s="588"/>
      <c r="H34" s="589"/>
      <c r="I34" s="589"/>
      <c r="J34" s="317" t="s">
        <v>897</v>
      </c>
      <c r="K34" s="559"/>
      <c r="L34" s="1652"/>
      <c r="M34" s="1652"/>
      <c r="R34" s="1652"/>
      <c r="U34" s="560"/>
      <c r="AA34" s="1648"/>
      <c r="AB34" s="1648"/>
      <c r="AC34" s="1648"/>
      <c r="AD34" s="1648"/>
      <c r="AE34" s="1648"/>
      <c r="AF34" s="1176">
        <v>19</v>
      </c>
    </row>
    <row customHeight="1" ht="60">
      <c r="D35" s="1654"/>
      <c r="E35" s="1691" t="s">
        <v>898</v>
      </c>
      <c r="F35" s="970" t="s">
        <v>899</v>
      </c>
      <c r="G35" s="1670" t="s">
        <v>705</v>
      </c>
      <c r="H35" s="1692"/>
      <c r="I35" s="1692"/>
      <c r="J35" s="305" t="s">
        <v>900</v>
      </c>
      <c r="K35" s="559"/>
      <c r="AF35" s="1647">
        <v>57</v>
      </c>
    </row>
    <row s="1382" customFormat="1" customHeight="1" ht="24">
      <c r="A36" s="1005" t="s">
        <v>731</v>
      </c>
      <c r="C36" s="1652"/>
      <c r="D36" s="1654"/>
      <c r="E36" s="1680" t="s">
        <v>93</v>
      </c>
      <c r="F36" s="723" t="s">
        <v>901</v>
      </c>
      <c r="G36" s="1659" t="s">
        <v>705</v>
      </c>
      <c r="H36" s="573"/>
      <c r="I36" s="573"/>
      <c r="J36" s="305" t="s">
        <v>902</v>
      </c>
      <c r="K36" s="559"/>
      <c r="L36" s="1652"/>
      <c r="M36" s="1652"/>
      <c r="R36" s="1652"/>
      <c r="U36" s="560"/>
      <c r="AA36" s="1648"/>
      <c r="AB36" s="1648"/>
      <c r="AC36" s="1648"/>
      <c r="AD36" s="1648"/>
      <c r="AE36" s="1648"/>
      <c r="AF36" s="1176">
        <v>23</v>
      </c>
    </row>
    <row s="1382" customFormat="1" customHeight="1" ht="35.699999999999996">
      <c r="A37" s="1005"/>
      <c r="C37" s="1652"/>
      <c r="D37" s="1654"/>
      <c r="E37" s="1680" t="s">
        <v>477</v>
      </c>
      <c r="F37" s="970" t="s">
        <v>903</v>
      </c>
      <c r="G37" s="1670"/>
      <c r="H37" s="573"/>
      <c r="I37" s="573"/>
      <c r="J37" s="305"/>
      <c r="K37" s="559"/>
      <c r="L37" s="1652"/>
      <c r="M37" s="1652"/>
      <c r="R37" s="1652"/>
      <c r="U37" s="560"/>
      <c r="AA37" s="1648"/>
      <c r="AB37" s="1648"/>
      <c r="AC37" s="1648"/>
      <c r="AD37" s="1648"/>
      <c r="AE37" s="1648"/>
      <c r="AF37" s="1176">
        <v>34</v>
      </c>
    </row>
    <row s="1382" customFormat="1" customHeight="1" ht="19.95">
      <c r="A38" s="1003"/>
      <c r="C38" s="1652"/>
      <c r="D38" s="591"/>
      <c r="E38" s="1680" t="s">
        <v>94</v>
      </c>
      <c r="F38" s="723" t="s">
        <v>904</v>
      </c>
      <c r="G38" s="1659" t="s">
        <v>705</v>
      </c>
      <c r="H38" s="573"/>
      <c r="I38" s="573"/>
      <c r="J38" s="305" t="s">
        <v>905</v>
      </c>
      <c r="K38" s="559"/>
      <c r="L38" s="1652"/>
      <c r="M38" s="1652"/>
      <c r="R38" s="1652"/>
      <c r="U38" s="560"/>
      <c r="AA38" s="1648"/>
      <c r="AB38" s="1648"/>
      <c r="AC38" s="1648"/>
      <c r="AD38" s="1648"/>
      <c r="AE38" s="1648"/>
      <c r="AF38" s="1176">
        <v>19</v>
      </c>
    </row>
    <row s="1382" customFormat="1" customHeight="1" ht="24">
      <c r="A39" s="1003"/>
      <c r="C39" s="1652"/>
      <c r="D39" s="591"/>
      <c r="E39" s="1680" t="s">
        <v>906</v>
      </c>
      <c r="F39" s="970" t="s">
        <v>907</v>
      </c>
      <c r="G39" s="1670" t="s">
        <v>705</v>
      </c>
      <c r="H39" s="573"/>
      <c r="I39" s="573"/>
      <c r="J39" s="305" t="s">
        <v>908</v>
      </c>
      <c r="K39" s="559"/>
      <c r="L39" s="1652"/>
      <c r="M39" s="1652"/>
      <c r="R39" s="1652"/>
      <c r="U39" s="560"/>
      <c r="AA39" s="1648"/>
      <c r="AB39" s="1648"/>
      <c r="AC39" s="1648"/>
      <c r="AD39" s="1648"/>
      <c r="AE39" s="1648"/>
      <c r="AF39" s="1176">
        <v>23</v>
      </c>
    </row>
    <row s="1382" customFormat="1" customHeight="1" ht="24">
      <c r="A40" s="1003"/>
      <c r="C40" s="1652"/>
      <c r="D40" s="1654"/>
      <c r="E40" s="1680" t="s">
        <v>909</v>
      </c>
      <c r="F40" s="1666" t="s">
        <v>910</v>
      </c>
      <c r="G40" s="1659" t="s">
        <v>705</v>
      </c>
      <c r="H40" s="573"/>
      <c r="I40" s="573"/>
      <c r="J40" s="305" t="s">
        <v>911</v>
      </c>
      <c r="K40" s="559"/>
      <c r="L40" s="1652"/>
      <c r="M40" s="1652"/>
      <c r="R40" s="1652"/>
      <c r="U40" s="560"/>
      <c r="AA40" s="1648"/>
      <c r="AB40" s="1648"/>
      <c r="AC40" s="1648"/>
      <c r="AD40" s="1648"/>
      <c r="AE40" s="1648"/>
      <c r="AF40" s="1176">
        <v>23</v>
      </c>
    </row>
    <row s="1382" customFormat="1" customHeight="1" ht="24">
      <c r="A41" s="1003"/>
      <c r="C41" s="1652"/>
      <c r="D41" s="1654"/>
      <c r="E41" s="1680" t="s">
        <v>912</v>
      </c>
      <c r="F41" s="1666" t="s">
        <v>913</v>
      </c>
      <c r="G41" s="1659" t="s">
        <v>705</v>
      </c>
      <c r="H41" s="573"/>
      <c r="I41" s="573"/>
      <c r="J41" s="305" t="s">
        <v>914</v>
      </c>
      <c r="K41" s="559"/>
      <c r="L41" s="1652"/>
      <c r="M41" s="1652"/>
      <c r="R41" s="1652"/>
      <c r="U41" s="560"/>
      <c r="AA41" s="1648"/>
      <c r="AB41" s="1648"/>
      <c r="AC41" s="1648"/>
      <c r="AD41" s="1648"/>
      <c r="AE41" s="1648"/>
      <c r="AF41" s="1176">
        <v>23</v>
      </c>
    </row>
    <row s="1382" customFormat="1" customHeight="1" ht="24">
      <c r="A42" s="1003"/>
      <c r="C42" s="1652"/>
      <c r="D42" s="1654"/>
      <c r="E42" s="1680" t="s">
        <v>915</v>
      </c>
      <c r="F42" s="1666" t="s">
        <v>916</v>
      </c>
      <c r="G42" s="1659" t="s">
        <v>705</v>
      </c>
      <c r="H42" s="573"/>
      <c r="I42" s="573"/>
      <c r="J42" s="305" t="s">
        <v>917</v>
      </c>
      <c r="K42" s="559"/>
      <c r="L42" s="1652"/>
      <c r="M42" s="1652"/>
      <c r="R42" s="1652"/>
      <c r="U42" s="560"/>
      <c r="AA42" s="1648"/>
      <c r="AB42" s="1648"/>
      <c r="AC42" s="1648"/>
      <c r="AD42" s="1648"/>
      <c r="AE42" s="1648"/>
      <c r="AF42" s="1176">
        <v>23</v>
      </c>
    </row>
    <row s="1382" customFormat="1" customHeight="1" ht="35.699999999999996">
      <c r="A43" s="1003"/>
      <c r="C43" s="1652" t="s">
        <v>741</v>
      </c>
      <c r="D43" s="1654"/>
      <c r="E43" s="1680" t="s">
        <v>122</v>
      </c>
      <c r="F43" s="723" t="s">
        <v>782</v>
      </c>
      <c r="G43" s="1662" t="s">
        <v>918</v>
      </c>
      <c r="H43" s="417"/>
      <c r="I43" s="417"/>
      <c r="J43" s="305" t="s">
        <v>919</v>
      </c>
      <c r="K43" s="559"/>
      <c r="L43" s="1652"/>
      <c r="M43" s="1652"/>
      <c r="R43" s="1652"/>
      <c r="U43" s="560"/>
      <c r="AA43" s="1648"/>
      <c r="AB43" s="1648"/>
      <c r="AC43" s="1648"/>
      <c r="AD43" s="1648"/>
      <c r="AE43" s="1648"/>
      <c r="AF43" s="1176">
        <v>34</v>
      </c>
    </row>
    <row s="1382" customFormat="1" customHeight="1" ht="35.699999999999996">
      <c r="A44" s="1003"/>
      <c r="C44" s="1652"/>
      <c r="D44" s="1654"/>
      <c r="E44" s="1680" t="s">
        <v>95</v>
      </c>
      <c r="F44" s="723" t="s">
        <v>920</v>
      </c>
      <c r="G44" s="1659" t="s">
        <v>921</v>
      </c>
      <c r="H44" s="561"/>
      <c r="I44" s="561"/>
      <c r="J44" s="305" t="s">
        <v>922</v>
      </c>
      <c r="K44" s="559"/>
      <c r="L44" s="1652"/>
      <c r="M44" s="1652"/>
      <c r="R44" s="1652"/>
      <c r="U44" s="560"/>
      <c r="AA44" s="1648"/>
      <c r="AB44" s="1648"/>
      <c r="AC44" s="1648"/>
      <c r="AD44" s="1648"/>
      <c r="AE44" s="1648"/>
      <c r="AF44" s="1176">
        <v>34</v>
      </c>
    </row>
    <row s="1382" customFormat="1" customHeight="1" ht="24">
      <c r="A45" s="1003"/>
      <c r="C45" s="1652"/>
      <c r="D45" s="1654"/>
      <c r="E45" s="1680" t="s">
        <v>96</v>
      </c>
      <c r="F45" s="723" t="s">
        <v>923</v>
      </c>
      <c r="G45" s="1670" t="s">
        <v>924</v>
      </c>
      <c r="H45" s="561"/>
      <c r="I45" s="561"/>
      <c r="J45" s="305" t="s">
        <v>925</v>
      </c>
      <c r="K45" s="559"/>
      <c r="L45" s="1652"/>
      <c r="M45" s="1652"/>
      <c r="R45" s="1652"/>
      <c r="U45" s="560"/>
      <c r="AA45" s="1648"/>
      <c r="AB45" s="1648"/>
      <c r="AC45" s="1648"/>
      <c r="AD45" s="1648"/>
      <c r="AE45" s="1648"/>
      <c r="AF45" s="1176">
        <v>23</v>
      </c>
    </row>
    <row s="1382" customFormat="1" customHeight="1" ht="19.95">
      <c r="A46" s="1003"/>
      <c r="C46" s="1652"/>
      <c r="D46" s="1654"/>
      <c r="E46" s="1680" t="s">
        <v>134</v>
      </c>
      <c r="F46" s="723" t="s">
        <v>926</v>
      </c>
      <c r="G46" s="1659" t="s">
        <v>743</v>
      </c>
      <c r="H46" s="593"/>
      <c r="I46" s="593"/>
      <c r="J46" s="305"/>
      <c r="K46" s="559"/>
      <c r="L46" s="1652"/>
      <c r="M46" s="1652"/>
      <c r="R46" s="1652"/>
      <c r="U46" s="560"/>
      <c r="AA46" s="1648"/>
      <c r="AB46" s="1648"/>
      <c r="AC46" s="1648"/>
      <c r="AD46" s="1648"/>
      <c r="AE46" s="1648"/>
      <c r="AF46" s="1176">
        <v>19</v>
      </c>
    </row>
    <row customHeight="1" ht="11.549999999999999">
      <c r="D47" s="1654"/>
      <c r="AF47" s="1647">
        <v>11</v>
      </c>
    </row>
    <row s="1657" customFormat="1" customHeight="1" ht="11.549999999999999">
      <c r="A48" s="1003"/>
      <c r="B48" s="1652"/>
      <c r="C48" s="1652"/>
      <c r="D48" s="367"/>
      <c r="K48" s="1176"/>
      <c r="L48" s="1652"/>
      <c r="M48" s="1652"/>
      <c r="N48" s="1176"/>
      <c r="O48" s="1176"/>
      <c r="P48" s="1176"/>
      <c r="Q48" s="1176"/>
      <c r="R48" s="1652"/>
      <c r="S48" s="1176"/>
      <c r="T48" s="1176"/>
      <c r="U48" s="560"/>
      <c r="V48" s="1176"/>
      <c r="W48" s="1176"/>
      <c r="X48" s="1176"/>
      <c r="Y48" s="1176"/>
      <c r="Z48" s="1176"/>
      <c r="AA48" s="1648"/>
      <c r="AB48" s="582"/>
      <c r="AC48" s="582"/>
      <c r="AD48" s="582"/>
      <c r="AE48" s="582"/>
      <c r="AF48" s="1657">
        <v>11</v>
      </c>
    </row>
    <row s="1657" customFormat="1" customHeight="1" ht="11.549999999999999">
      <c r="A49" s="1003"/>
      <c r="B49" s="1652"/>
      <c r="C49" s="1652"/>
      <c r="D49" s="367"/>
      <c r="K49" s="1176"/>
      <c r="L49" s="1652"/>
      <c r="M49" s="1652"/>
      <c r="N49" s="1176"/>
      <c r="O49" s="1176"/>
      <c r="P49" s="1176"/>
      <c r="Q49" s="1176"/>
      <c r="R49" s="1652"/>
      <c r="S49" s="1176"/>
      <c r="T49" s="1176"/>
      <c r="U49" s="560"/>
      <c r="V49" s="1176"/>
      <c r="W49" s="1176"/>
      <c r="X49" s="1176"/>
      <c r="Y49" s="1176"/>
      <c r="Z49" s="1176"/>
      <c r="AA49" s="1648"/>
      <c r="AB49" s="582"/>
      <c r="AC49" s="582"/>
      <c r="AD49" s="582"/>
      <c r="AE49" s="582"/>
      <c r="AF49" s="1657">
        <v>11</v>
      </c>
    </row>
    <row s="1657" customFormat="1" customHeight="1" ht="11.549999999999999">
      <c r="A50" s="1003"/>
      <c r="B50" s="1652"/>
      <c r="C50" s="1652"/>
      <c r="D50" s="367"/>
      <c r="H50" s="582"/>
      <c r="I50" s="582"/>
      <c r="K50" s="1176"/>
      <c r="L50" s="1652"/>
      <c r="M50" s="1652"/>
      <c r="N50" s="1176"/>
      <c r="O50" s="1176"/>
      <c r="P50" s="1176"/>
      <c r="Q50" s="1176"/>
      <c r="R50" s="1652"/>
      <c r="S50" s="1176"/>
      <c r="T50" s="1176"/>
      <c r="U50" s="560"/>
      <c r="V50" s="1176"/>
      <c r="W50" s="1176"/>
      <c r="X50" s="1176"/>
      <c r="Y50" s="1176"/>
      <c r="Z50" s="1176"/>
      <c r="AA50" s="1648"/>
      <c r="AB50" s="582"/>
      <c r="AC50" s="582"/>
      <c r="AD50" s="582"/>
      <c r="AE50" s="582"/>
      <c r="AF50" s="1657">
        <v>11</v>
      </c>
    </row>
    <row s="1657" customFormat="1" customHeight="1" ht="11.549999999999999">
      <c r="A51" s="1003"/>
      <c r="B51" s="1652"/>
      <c r="C51" s="1652"/>
      <c r="D51" s="367"/>
      <c r="K51" s="1176"/>
      <c r="L51" s="1652"/>
      <c r="M51" s="1652"/>
      <c r="N51" s="1176"/>
      <c r="O51" s="1176"/>
      <c r="P51" s="1176"/>
      <c r="Q51" s="1176"/>
      <c r="R51" s="1652"/>
      <c r="S51" s="1176"/>
      <c r="T51" s="1176"/>
      <c r="U51" s="560"/>
      <c r="V51" s="1176"/>
      <c r="W51" s="1176"/>
      <c r="X51" s="1176"/>
      <c r="Y51" s="1176"/>
      <c r="Z51" s="1176"/>
      <c r="AA51" s="1648"/>
      <c r="AB51" s="582"/>
      <c r="AC51" s="582"/>
      <c r="AD51" s="582"/>
      <c r="AE51" s="582"/>
      <c r="AF51" s="1657">
        <v>11</v>
      </c>
    </row>
    <row s="1657" customFormat="1" customHeight="1" ht="11.549999999999999">
      <c r="A52" s="1003"/>
      <c r="B52" s="1652"/>
      <c r="C52" s="1652"/>
      <c r="D52" s="367"/>
      <c r="K52" s="1176"/>
      <c r="L52" s="1652"/>
      <c r="M52" s="1652"/>
      <c r="N52" s="1176"/>
      <c r="O52" s="1176"/>
      <c r="P52" s="1176"/>
      <c r="Q52" s="1176"/>
      <c r="R52" s="1652"/>
      <c r="S52" s="1176"/>
      <c r="T52" s="1176"/>
      <c r="U52" s="560"/>
      <c r="V52" s="1176"/>
      <c r="W52" s="1176"/>
      <c r="X52" s="1176"/>
      <c r="Y52" s="1176"/>
      <c r="Z52" s="1176"/>
      <c r="AA52" s="1648"/>
      <c r="AB52" s="582"/>
      <c r="AC52" s="582"/>
      <c r="AD52" s="582"/>
      <c r="AE52" s="582"/>
      <c r="AF52" s="1657">
        <v>11</v>
      </c>
    </row>
    <row s="1657" customFormat="1" customHeight="1" ht="11.549999999999999">
      <c r="A53" s="1003"/>
      <c r="B53" s="1652"/>
      <c r="C53" s="1652"/>
      <c r="D53" s="367"/>
      <c r="K53" s="1176"/>
      <c r="L53" s="1652"/>
      <c r="M53" s="1652"/>
      <c r="N53" s="1176"/>
      <c r="O53" s="1176"/>
      <c r="P53" s="1176"/>
      <c r="Q53" s="1176"/>
      <c r="R53" s="1652"/>
      <c r="S53" s="1176"/>
      <c r="T53" s="1176"/>
      <c r="U53" s="560"/>
      <c r="V53" s="1176"/>
      <c r="W53" s="1176"/>
      <c r="X53" s="1176"/>
      <c r="Y53" s="1176"/>
      <c r="Z53" s="1176"/>
      <c r="AA53" s="1648"/>
      <c r="AB53" s="582"/>
      <c r="AC53" s="582"/>
      <c r="AD53" s="582"/>
      <c r="AE53" s="582"/>
      <c r="AF53" s="1657">
        <v>11</v>
      </c>
    </row>
    <row s="1657" customFormat="1" customHeight="1" ht="11.549999999999999">
      <c r="A54" s="1003"/>
      <c r="B54" s="1652"/>
      <c r="C54" s="1652"/>
      <c r="D54" s="367"/>
      <c r="K54" s="1176"/>
      <c r="L54" s="1652"/>
      <c r="M54" s="1652"/>
      <c r="N54" s="1176"/>
      <c r="O54" s="1176"/>
      <c r="P54" s="1176"/>
      <c r="Q54" s="1176"/>
      <c r="R54" s="1652"/>
      <c r="S54" s="1176"/>
      <c r="T54" s="1176"/>
      <c r="U54" s="560"/>
      <c r="V54" s="1176"/>
      <c r="W54" s="1176"/>
      <c r="X54" s="1176"/>
      <c r="Y54" s="1176"/>
      <c r="Z54" s="1176"/>
      <c r="AA54" s="1648"/>
      <c r="AB54" s="582"/>
      <c r="AC54" s="582"/>
      <c r="AD54" s="582"/>
      <c r="AE54" s="582"/>
      <c r="AF54" s="1657">
        <v>11</v>
      </c>
    </row>
    <row s="1657" customFormat="1" customHeight="1" ht="11.549999999999999">
      <c r="A55" s="1003"/>
      <c r="B55" s="1652"/>
      <c r="C55" s="1652"/>
      <c r="D55" s="367"/>
      <c r="K55" s="1176"/>
      <c r="L55" s="1652"/>
      <c r="M55" s="1652"/>
      <c r="N55" s="1176"/>
      <c r="O55" s="1176"/>
      <c r="P55" s="1176"/>
      <c r="Q55" s="1176"/>
      <c r="R55" s="1652"/>
      <c r="S55" s="1176"/>
      <c r="T55" s="1176"/>
      <c r="U55" s="560"/>
      <c r="V55" s="1176"/>
      <c r="W55" s="1176"/>
      <c r="X55" s="1176"/>
      <c r="Y55" s="1176"/>
      <c r="Z55" s="1176"/>
      <c r="AA55" s="1648"/>
      <c r="AB55" s="582"/>
      <c r="AC55" s="582"/>
      <c r="AD55" s="582"/>
      <c r="AE55" s="582"/>
      <c r="AF55" s="1657">
        <v>11</v>
      </c>
    </row>
    <row s="1657" customFormat="1" customHeight="1" ht="11.549999999999999">
      <c r="A56" s="1003"/>
      <c r="B56" s="1652"/>
      <c r="C56" s="1652"/>
      <c r="D56" s="367"/>
      <c r="K56" s="1176"/>
      <c r="L56" s="1652"/>
      <c r="M56" s="1652"/>
      <c r="N56" s="1176"/>
      <c r="O56" s="1176"/>
      <c r="P56" s="1176"/>
      <c r="Q56" s="1176"/>
      <c r="R56" s="1652"/>
      <c r="S56" s="1176"/>
      <c r="T56" s="1176"/>
      <c r="U56" s="560"/>
      <c r="V56" s="1176"/>
      <c r="W56" s="1176"/>
      <c r="X56" s="1176"/>
      <c r="Y56" s="1176"/>
      <c r="Z56" s="1176"/>
      <c r="AA56" s="1648"/>
      <c r="AB56" s="582"/>
      <c r="AC56" s="582"/>
      <c r="AD56" s="582"/>
      <c r="AE56" s="582"/>
      <c r="AF56" s="1657">
        <v>11</v>
      </c>
    </row>
    <row s="1657" customFormat="1" customHeight="1" ht="11.549999999999999">
      <c r="A57" s="1003"/>
      <c r="B57" s="1652"/>
      <c r="C57" s="1652"/>
      <c r="D57" s="367"/>
      <c r="K57" s="1176"/>
      <c r="L57" s="1652"/>
      <c r="M57" s="1652"/>
      <c r="N57" s="1176"/>
      <c r="O57" s="1176"/>
      <c r="P57" s="1176"/>
      <c r="Q57" s="1176"/>
      <c r="R57" s="1652"/>
      <c r="S57" s="1176"/>
      <c r="T57" s="1176"/>
      <c r="U57" s="560"/>
      <c r="V57" s="1176"/>
      <c r="W57" s="1176"/>
      <c r="X57" s="1176"/>
      <c r="Y57" s="1176"/>
      <c r="Z57" s="1176"/>
      <c r="AA57" s="1648"/>
      <c r="AB57" s="582"/>
      <c r="AC57" s="582"/>
      <c r="AD57" s="582"/>
      <c r="AE57" s="582"/>
      <c r="AF57" s="1657">
        <v>11</v>
      </c>
    </row>
    <row s="1657" customFormat="1" customHeight="1" ht="11.549999999999999">
      <c r="A58" s="1003"/>
      <c r="B58" s="1652"/>
      <c r="C58" s="1652"/>
      <c r="D58" s="367"/>
      <c r="K58" s="1176"/>
      <c r="L58" s="1652"/>
      <c r="M58" s="1652"/>
      <c r="N58" s="1176"/>
      <c r="O58" s="1176"/>
      <c r="P58" s="1176"/>
      <c r="Q58" s="1176"/>
      <c r="R58" s="1652"/>
      <c r="S58" s="1176"/>
      <c r="T58" s="1176"/>
      <c r="U58" s="560"/>
      <c r="V58" s="1176"/>
      <c r="W58" s="1176"/>
      <c r="X58" s="1176"/>
      <c r="Y58" s="1176"/>
      <c r="Z58" s="1176"/>
      <c r="AA58" s="1648"/>
      <c r="AB58" s="582"/>
      <c r="AC58" s="582"/>
      <c r="AD58" s="582"/>
      <c r="AE58" s="582"/>
      <c r="AF58" s="1657">
        <v>11</v>
      </c>
    </row>
    <row s="1657" customFormat="1" customHeight="1" ht="11.549999999999999">
      <c r="A59" s="1003"/>
      <c r="B59" s="1652"/>
      <c r="C59" s="1652"/>
      <c r="D59" s="367"/>
      <c r="K59" s="1176"/>
      <c r="L59" s="1652"/>
      <c r="M59" s="1652"/>
      <c r="N59" s="1176"/>
      <c r="O59" s="1176"/>
      <c r="P59" s="1176"/>
      <c r="Q59" s="1176"/>
      <c r="R59" s="1652"/>
      <c r="S59" s="1176"/>
      <c r="T59" s="1176"/>
      <c r="U59" s="560"/>
      <c r="V59" s="1176"/>
      <c r="W59" s="1176"/>
      <c r="X59" s="1176"/>
      <c r="Y59" s="1176"/>
      <c r="Z59" s="1176"/>
      <c r="AA59" s="1648"/>
      <c r="AB59" s="582"/>
      <c r="AC59" s="582"/>
      <c r="AD59" s="582"/>
      <c r="AE59" s="582"/>
      <c r="AF59" s="1657">
        <v>11</v>
      </c>
    </row>
    <row s="1657" customFormat="1" customHeight="1" ht="11.549999999999999">
      <c r="A60" s="1003"/>
      <c r="B60" s="1652"/>
      <c r="C60" s="1652"/>
      <c r="D60" s="367"/>
      <c r="K60" s="1176"/>
      <c r="L60" s="1652"/>
      <c r="M60" s="1652"/>
      <c r="N60" s="1176"/>
      <c r="O60" s="1176"/>
      <c r="P60" s="1176"/>
      <c r="Q60" s="1176"/>
      <c r="R60" s="1652"/>
      <c r="S60" s="1176"/>
      <c r="T60" s="1176"/>
      <c r="U60" s="560"/>
      <c r="V60" s="1176"/>
      <c r="W60" s="1176"/>
      <c r="X60" s="1176"/>
      <c r="Y60" s="1176"/>
      <c r="Z60" s="1176"/>
      <c r="AA60" s="1648"/>
      <c r="AB60" s="582"/>
      <c r="AC60" s="582"/>
      <c r="AD60" s="582"/>
      <c r="AE60" s="582"/>
      <c r="AF60" s="1657">
        <v>11</v>
      </c>
    </row>
    <row s="1657" customFormat="1" customHeight="1" ht="11.549999999999999">
      <c r="A61" s="1003"/>
      <c r="B61" s="1652"/>
      <c r="C61" s="1652"/>
      <c r="D61" s="367"/>
      <c r="K61" s="1176"/>
      <c r="L61" s="1652"/>
      <c r="M61" s="1652"/>
      <c r="N61" s="1176"/>
      <c r="O61" s="1176"/>
      <c r="P61" s="1176"/>
      <c r="Q61" s="1176"/>
      <c r="R61" s="1652"/>
      <c r="S61" s="1176"/>
      <c r="T61" s="1176"/>
      <c r="U61" s="560"/>
      <c r="V61" s="1176"/>
      <c r="W61" s="1176"/>
      <c r="X61" s="1176"/>
      <c r="Y61" s="1176"/>
      <c r="Z61" s="1176"/>
      <c r="AA61" s="1648"/>
      <c r="AB61" s="582"/>
      <c r="AC61" s="582"/>
      <c r="AD61" s="582"/>
      <c r="AE61" s="582"/>
      <c r="AF61" s="1657">
        <v>11</v>
      </c>
    </row>
    <row s="1657" customFormat="1" customHeight="1" ht="11.549999999999999">
      <c r="A62" s="1003"/>
      <c r="B62" s="1652"/>
      <c r="C62" s="1652"/>
      <c r="D62" s="367"/>
      <c r="K62" s="1176"/>
      <c r="L62" s="1652"/>
      <c r="M62" s="1652"/>
      <c r="N62" s="1176"/>
      <c r="O62" s="1176"/>
      <c r="P62" s="1176"/>
      <c r="Q62" s="1176"/>
      <c r="R62" s="1652"/>
      <c r="S62" s="1176"/>
      <c r="T62" s="1176"/>
      <c r="U62" s="560"/>
      <c r="V62" s="1176"/>
      <c r="W62" s="1176"/>
      <c r="X62" s="1176"/>
      <c r="Y62" s="1176"/>
      <c r="Z62" s="1176"/>
      <c r="AA62" s="1648"/>
      <c r="AB62" s="582"/>
      <c r="AC62" s="582"/>
      <c r="AD62" s="582"/>
      <c r="AE62" s="582"/>
      <c r="AF62" s="1657">
        <v>11</v>
      </c>
    </row>
    <row s="1657" customFormat="1" customHeight="1" ht="11.549999999999999">
      <c r="A63" s="1003"/>
      <c r="B63" s="1652"/>
      <c r="C63" s="1652"/>
      <c r="D63" s="367"/>
      <c r="K63" s="1176"/>
      <c r="L63" s="1652"/>
      <c r="M63" s="1652"/>
      <c r="N63" s="1176"/>
      <c r="O63" s="1176"/>
      <c r="P63" s="1176"/>
      <c r="Q63" s="1176"/>
      <c r="R63" s="1652"/>
      <c r="S63" s="1176"/>
      <c r="T63" s="1176"/>
      <c r="U63" s="560"/>
      <c r="V63" s="1176"/>
      <c r="W63" s="1176"/>
      <c r="X63" s="1176"/>
      <c r="Y63" s="1176"/>
      <c r="Z63" s="1176"/>
      <c r="AA63" s="1648"/>
      <c r="AB63" s="582"/>
      <c r="AC63" s="582"/>
      <c r="AD63" s="582"/>
      <c r="AE63" s="582"/>
      <c r="AF63" s="1657">
        <v>11</v>
      </c>
    </row>
    <row s="1657" customFormat="1" customHeight="1" ht="11.549999999999999">
      <c r="A64" s="1003"/>
      <c r="B64" s="1652"/>
      <c r="C64" s="1652"/>
      <c r="D64" s="367"/>
      <c r="K64" s="1176"/>
      <c r="L64" s="1652"/>
      <c r="M64" s="1652"/>
      <c r="N64" s="1176"/>
      <c r="O64" s="1176"/>
      <c r="P64" s="1176"/>
      <c r="Q64" s="1176"/>
      <c r="R64" s="1652"/>
      <c r="S64" s="1176"/>
      <c r="T64" s="1176"/>
      <c r="U64" s="560"/>
      <c r="V64" s="1176"/>
      <c r="W64" s="1176"/>
      <c r="X64" s="1176"/>
      <c r="Y64" s="1176"/>
      <c r="Z64" s="1176"/>
      <c r="AA64" s="1648"/>
      <c r="AB64" s="582"/>
      <c r="AC64" s="582"/>
      <c r="AD64" s="582"/>
      <c r="AE64" s="582"/>
      <c r="AF64" s="1657">
        <v>11</v>
      </c>
    </row>
    <row s="1657" customFormat="1" customHeight="1" ht="11.549999999999999">
      <c r="A65" s="1003"/>
      <c r="B65" s="1652"/>
      <c r="C65" s="1652"/>
      <c r="D65" s="367"/>
      <c r="K65" s="1176"/>
      <c r="L65" s="1652"/>
      <c r="M65" s="1652"/>
      <c r="N65" s="1176"/>
      <c r="O65" s="1176"/>
      <c r="P65" s="1176"/>
      <c r="Q65" s="1176"/>
      <c r="R65" s="1652"/>
      <c r="S65" s="1176"/>
      <c r="T65" s="1176"/>
      <c r="U65" s="560"/>
      <c r="V65" s="1176"/>
      <c r="W65" s="1176"/>
      <c r="X65" s="1176"/>
      <c r="Y65" s="1176"/>
      <c r="Z65" s="1176"/>
      <c r="AA65" s="1648"/>
      <c r="AB65" s="582"/>
      <c r="AC65" s="582"/>
      <c r="AD65" s="582"/>
      <c r="AE65" s="582"/>
      <c r="AF65" s="1657">
        <v>11</v>
      </c>
    </row>
    <row s="1657" customFormat="1" customHeight="1" ht="11.549999999999999">
      <c r="A66" s="1003"/>
      <c r="B66" s="1652"/>
      <c r="C66" s="1652"/>
      <c r="D66" s="367"/>
      <c r="K66" s="1176"/>
      <c r="L66" s="1652"/>
      <c r="M66" s="1652"/>
      <c r="N66" s="1176"/>
      <c r="O66" s="1176"/>
      <c r="P66" s="1176"/>
      <c r="Q66" s="1176"/>
      <c r="R66" s="1652"/>
      <c r="S66" s="1176"/>
      <c r="T66" s="1176"/>
      <c r="U66" s="560"/>
      <c r="V66" s="1176"/>
      <c r="W66" s="1176"/>
      <c r="X66" s="1176"/>
      <c r="Y66" s="1176"/>
      <c r="Z66" s="1176"/>
      <c r="AA66" s="1648"/>
      <c r="AB66" s="582"/>
      <c r="AC66" s="582"/>
      <c r="AD66" s="582"/>
      <c r="AE66" s="582"/>
      <c r="AF66" s="1657">
        <v>11</v>
      </c>
    </row>
    <row s="1657" customFormat="1" customHeight="1" ht="11.549999999999999">
      <c r="A67" s="1003"/>
      <c r="B67" s="1652"/>
      <c r="C67" s="1652"/>
      <c r="D67" s="367"/>
      <c r="K67" s="1176"/>
      <c r="L67" s="1652"/>
      <c r="M67" s="1652"/>
      <c r="N67" s="1176"/>
      <c r="O67" s="1176"/>
      <c r="P67" s="1176"/>
      <c r="Q67" s="1176"/>
      <c r="R67" s="1652"/>
      <c r="S67" s="1176"/>
      <c r="T67" s="1176"/>
      <c r="U67" s="560"/>
      <c r="V67" s="1176"/>
      <c r="W67" s="1176"/>
      <c r="X67" s="1176"/>
      <c r="Y67" s="1176"/>
      <c r="Z67" s="1176"/>
      <c r="AA67" s="1648"/>
      <c r="AB67" s="582"/>
      <c r="AC67" s="582"/>
      <c r="AD67" s="582"/>
      <c r="AE67" s="582"/>
      <c r="AF67" s="1657">
        <v>11</v>
      </c>
    </row>
    <row s="1657" customFormat="1" customHeight="1" ht="11.549999999999999">
      <c r="A68" s="1003"/>
      <c r="B68" s="1652"/>
      <c r="C68" s="1652"/>
      <c r="D68" s="367"/>
      <c r="K68" s="1176"/>
      <c r="L68" s="1652"/>
      <c r="M68" s="1652"/>
      <c r="N68" s="1176"/>
      <c r="O68" s="1176"/>
      <c r="P68" s="1176"/>
      <c r="Q68" s="1176"/>
      <c r="R68" s="1652"/>
      <c r="S68" s="1176"/>
      <c r="T68" s="1176"/>
      <c r="U68" s="560"/>
      <c r="V68" s="1176"/>
      <c r="W68" s="1176"/>
      <c r="X68" s="1176"/>
      <c r="Y68" s="1176"/>
      <c r="Z68" s="1176"/>
      <c r="AA68" s="1648"/>
      <c r="AB68" s="582"/>
      <c r="AC68" s="582"/>
      <c r="AD68" s="582"/>
      <c r="AE68" s="582"/>
      <c r="AF68" s="1657">
        <v>11</v>
      </c>
    </row>
    <row s="1657" customFormat="1" customHeight="1" ht="11.549999999999999">
      <c r="A69" s="1003"/>
      <c r="B69" s="1652"/>
      <c r="C69" s="1652"/>
      <c r="D69" s="367"/>
      <c r="K69" s="1176"/>
      <c r="L69" s="1652"/>
      <c r="M69" s="1652"/>
      <c r="N69" s="1176"/>
      <c r="O69" s="1176"/>
      <c r="P69" s="1176"/>
      <c r="Q69" s="1176"/>
      <c r="R69" s="1652"/>
      <c r="S69" s="1176"/>
      <c r="T69" s="1176"/>
      <c r="U69" s="560"/>
      <c r="V69" s="1176"/>
      <c r="W69" s="1176"/>
      <c r="X69" s="1176"/>
      <c r="Y69" s="1176"/>
      <c r="Z69" s="1176"/>
      <c r="AA69" s="1648"/>
      <c r="AB69" s="582"/>
      <c r="AC69" s="582"/>
      <c r="AD69" s="582"/>
      <c r="AE69" s="582"/>
      <c r="AF69" s="1657">
        <v>11</v>
      </c>
    </row>
    <row s="1657" customFormat="1" customHeight="1" ht="11.549999999999999">
      <c r="A70" s="1003"/>
      <c r="B70" s="1652"/>
      <c r="C70" s="1652"/>
      <c r="D70" s="367"/>
      <c r="K70" s="1176"/>
      <c r="L70" s="1652"/>
      <c r="M70" s="1652"/>
      <c r="N70" s="1176"/>
      <c r="O70" s="1176"/>
      <c r="P70" s="1176"/>
      <c r="Q70" s="1176"/>
      <c r="R70" s="1652"/>
      <c r="S70" s="1176"/>
      <c r="T70" s="1176"/>
      <c r="U70" s="560"/>
      <c r="V70" s="1176"/>
      <c r="W70" s="1176"/>
      <c r="X70" s="1176"/>
      <c r="Y70" s="1176"/>
      <c r="Z70" s="1176"/>
      <c r="AA70" s="1648"/>
      <c r="AB70" s="582"/>
      <c r="AC70" s="582"/>
      <c r="AD70" s="582"/>
      <c r="AE70" s="582"/>
      <c r="AF70" s="1657">
        <v>11</v>
      </c>
    </row>
    <row s="1657" customFormat="1" customHeight="1" ht="11.549999999999999">
      <c r="A71" s="1003"/>
      <c r="B71" s="1652"/>
      <c r="C71" s="1652"/>
      <c r="D71" s="367"/>
      <c r="K71" s="1176"/>
      <c r="L71" s="1652"/>
      <c r="M71" s="1652"/>
      <c r="N71" s="1176"/>
      <c r="O71" s="1176"/>
      <c r="P71" s="1176"/>
      <c r="Q71" s="1176"/>
      <c r="R71" s="1652"/>
      <c r="S71" s="1176"/>
      <c r="T71" s="1176"/>
      <c r="U71" s="560"/>
      <c r="V71" s="1176"/>
      <c r="W71" s="1176"/>
      <c r="X71" s="1176"/>
      <c r="Y71" s="1176"/>
      <c r="Z71" s="1176"/>
      <c r="AA71" s="1648"/>
      <c r="AB71" s="582"/>
      <c r="AC71" s="582"/>
      <c r="AD71" s="582"/>
      <c r="AE71" s="582"/>
      <c r="AF71" s="1657">
        <v>11</v>
      </c>
    </row>
    <row s="1657" customFormat="1" customHeight="1" ht="11.549999999999999">
      <c r="A72" s="1003"/>
      <c r="B72" s="1652"/>
      <c r="C72" s="1652"/>
      <c r="D72" s="367"/>
      <c r="K72" s="1176"/>
      <c r="L72" s="1652"/>
      <c r="M72" s="1652"/>
      <c r="N72" s="1176"/>
      <c r="O72" s="1176"/>
      <c r="P72" s="1176"/>
      <c r="Q72" s="1176"/>
      <c r="R72" s="1652"/>
      <c r="S72" s="1176"/>
      <c r="T72" s="1176"/>
      <c r="U72" s="560"/>
      <c r="V72" s="1176"/>
      <c r="W72" s="1176"/>
      <c r="X72" s="1176"/>
      <c r="Y72" s="1176"/>
      <c r="Z72" s="1176"/>
      <c r="AA72" s="1648"/>
      <c r="AB72" s="582"/>
      <c r="AC72" s="582"/>
      <c r="AD72" s="582"/>
      <c r="AE72" s="582"/>
      <c r="AF72" s="1657">
        <v>11</v>
      </c>
    </row>
    <row s="1657" customFormat="1" customHeight="1" ht="11.549999999999999">
      <c r="A73" s="1003"/>
      <c r="B73" s="1652"/>
      <c r="C73" s="1652"/>
      <c r="D73" s="367"/>
      <c r="K73" s="1176"/>
      <c r="L73" s="1652"/>
      <c r="M73" s="1652"/>
      <c r="N73" s="1176"/>
      <c r="O73" s="1176"/>
      <c r="P73" s="1176"/>
      <c r="Q73" s="1176"/>
      <c r="R73" s="1652"/>
      <c r="S73" s="1176"/>
      <c r="T73" s="1176"/>
      <c r="U73" s="560"/>
      <c r="V73" s="1176"/>
      <c r="W73" s="1176"/>
      <c r="X73" s="1176"/>
      <c r="Y73" s="1176"/>
      <c r="Z73" s="1176"/>
      <c r="AA73" s="1648"/>
      <c r="AB73" s="582"/>
      <c r="AC73" s="582"/>
      <c r="AD73" s="582"/>
      <c r="AE73" s="582"/>
      <c r="AF73" s="1657">
        <v>11</v>
      </c>
    </row>
    <row s="1657" customFormat="1" customHeight="1" ht="11.549999999999999">
      <c r="A74" s="1003"/>
      <c r="B74" s="1652"/>
      <c r="C74" s="1652"/>
      <c r="D74" s="367"/>
      <c r="K74" s="1176"/>
      <c r="L74" s="1652"/>
      <c r="M74" s="1652"/>
      <c r="N74" s="1176"/>
      <c r="O74" s="1176"/>
      <c r="P74" s="1176"/>
      <c r="Q74" s="1176"/>
      <c r="R74" s="1652"/>
      <c r="S74" s="1176"/>
      <c r="T74" s="1176"/>
      <c r="U74" s="560"/>
      <c r="V74" s="1176"/>
      <c r="W74" s="1176"/>
      <c r="X74" s="1176"/>
      <c r="Y74" s="1176"/>
      <c r="Z74" s="1176"/>
      <c r="AA74" s="1648"/>
      <c r="AB74" s="582"/>
      <c r="AC74" s="582"/>
      <c r="AD74" s="582"/>
      <c r="AE74" s="582"/>
      <c r="AF74" s="1657">
        <v>11</v>
      </c>
    </row>
    <row s="1657" customFormat="1" customHeight="1" ht="11.549999999999999">
      <c r="A75" s="1003"/>
      <c r="B75" s="1652"/>
      <c r="C75" s="1652"/>
      <c r="D75" s="367"/>
      <c r="K75" s="1176"/>
      <c r="L75" s="1652"/>
      <c r="M75" s="1652"/>
      <c r="N75" s="1176"/>
      <c r="O75" s="1176"/>
      <c r="P75" s="1176"/>
      <c r="Q75" s="1176"/>
      <c r="R75" s="1652"/>
      <c r="S75" s="1176"/>
      <c r="T75" s="1176"/>
      <c r="U75" s="560"/>
      <c r="V75" s="1176"/>
      <c r="W75" s="1176"/>
      <c r="X75" s="1176"/>
      <c r="Y75" s="1176"/>
      <c r="Z75" s="1176"/>
      <c r="AA75" s="1648"/>
      <c r="AB75" s="582"/>
      <c r="AC75" s="582"/>
      <c r="AD75" s="582"/>
      <c r="AE75" s="582"/>
      <c r="AF75" s="1657">
        <v>11</v>
      </c>
    </row>
    <row s="1657" customFormat="1" customHeight="1" ht="11.549999999999999">
      <c r="A76" s="1003"/>
      <c r="B76" s="1652"/>
      <c r="C76" s="1652"/>
      <c r="D76" s="367"/>
      <c r="K76" s="1176"/>
      <c r="L76" s="1652"/>
      <c r="M76" s="1652"/>
      <c r="N76" s="1176"/>
      <c r="O76" s="1176"/>
      <c r="P76" s="1176"/>
      <c r="Q76" s="1176"/>
      <c r="R76" s="1652"/>
      <c r="S76" s="1176"/>
      <c r="T76" s="1176"/>
      <c r="U76" s="560"/>
      <c r="V76" s="1176"/>
      <c r="W76" s="1176"/>
      <c r="X76" s="1176"/>
      <c r="Y76" s="1176"/>
      <c r="Z76" s="1176"/>
      <c r="AA76" s="1648"/>
      <c r="AB76" s="582"/>
      <c r="AC76" s="582"/>
      <c r="AD76" s="582"/>
      <c r="AE76" s="582"/>
      <c r="AF76" s="1657">
        <v>11</v>
      </c>
    </row>
    <row s="1657" customFormat="1" customHeight="1" ht="11.549999999999999">
      <c r="A77" s="1003"/>
      <c r="B77" s="1652"/>
      <c r="C77" s="1652"/>
      <c r="D77" s="367"/>
      <c r="K77" s="1176"/>
      <c r="L77" s="1652"/>
      <c r="M77" s="1652"/>
      <c r="N77" s="1176"/>
      <c r="O77" s="1176"/>
      <c r="P77" s="1176"/>
      <c r="Q77" s="1176"/>
      <c r="R77" s="1652"/>
      <c r="S77" s="1176"/>
      <c r="T77" s="1176"/>
      <c r="U77" s="560"/>
      <c r="V77" s="1176"/>
      <c r="W77" s="1176"/>
      <c r="X77" s="1176"/>
      <c r="Y77" s="1176"/>
      <c r="Z77" s="1176"/>
      <c r="AA77" s="1648"/>
      <c r="AB77" s="582"/>
      <c r="AC77" s="582"/>
      <c r="AD77" s="582"/>
      <c r="AE77" s="582"/>
      <c r="AF77" s="1657">
        <v>11</v>
      </c>
    </row>
    <row s="1657" customFormat="1" customHeight="1" ht="11.549999999999999">
      <c r="A78" s="1003"/>
      <c r="B78" s="1652"/>
      <c r="C78" s="1652"/>
      <c r="D78" s="367"/>
      <c r="K78" s="1176"/>
      <c r="L78" s="1652"/>
      <c r="M78" s="1652"/>
      <c r="N78" s="1176"/>
      <c r="O78" s="1176"/>
      <c r="P78" s="1176"/>
      <c r="Q78" s="1176"/>
      <c r="R78" s="1652"/>
      <c r="S78" s="1176"/>
      <c r="T78" s="1176"/>
      <c r="U78" s="560"/>
      <c r="V78" s="1176"/>
      <c r="W78" s="1176"/>
      <c r="X78" s="1176"/>
      <c r="Y78" s="1176"/>
      <c r="Z78" s="1176"/>
      <c r="AA78" s="1648"/>
      <c r="AB78" s="582"/>
      <c r="AC78" s="582"/>
      <c r="AD78" s="582"/>
      <c r="AE78" s="582"/>
      <c r="AF78" s="1657">
        <v>11</v>
      </c>
    </row>
    <row s="1657" customFormat="1" customHeight="1" ht="11.549999999999999">
      <c r="A79" s="1003"/>
      <c r="B79" s="1652"/>
      <c r="C79" s="1652"/>
      <c r="D79" s="367"/>
      <c r="K79" s="1176"/>
      <c r="L79" s="1652"/>
      <c r="M79" s="1652"/>
      <c r="N79" s="1176"/>
      <c r="O79" s="1176"/>
      <c r="P79" s="1176"/>
      <c r="Q79" s="1176"/>
      <c r="R79" s="1652"/>
      <c r="S79" s="1176"/>
      <c r="T79" s="1176"/>
      <c r="U79" s="560"/>
      <c r="V79" s="1176"/>
      <c r="W79" s="1176"/>
      <c r="X79" s="1176"/>
      <c r="Y79" s="1176"/>
      <c r="Z79" s="1176"/>
      <c r="AA79" s="1648"/>
      <c r="AB79" s="582"/>
      <c r="AC79" s="582"/>
      <c r="AD79" s="582"/>
      <c r="AE79" s="582"/>
      <c r="AF79" s="1657">
        <v>11</v>
      </c>
    </row>
    <row s="1657" customFormat="1" customHeight="1" ht="11.549999999999999">
      <c r="A80" s="1003"/>
      <c r="B80" s="1652"/>
      <c r="C80" s="1652"/>
      <c r="D80" s="367"/>
      <c r="K80" s="1176"/>
      <c r="L80" s="1652"/>
      <c r="M80" s="1652"/>
      <c r="N80" s="1176"/>
      <c r="O80" s="1176"/>
      <c r="P80" s="1176"/>
      <c r="Q80" s="1176"/>
      <c r="R80" s="1652"/>
      <c r="S80" s="1176"/>
      <c r="T80" s="1176"/>
      <c r="U80" s="560"/>
      <c r="V80" s="1176"/>
      <c r="W80" s="1176"/>
      <c r="X80" s="1176"/>
      <c r="Y80" s="1176"/>
      <c r="Z80" s="1176"/>
      <c r="AA80" s="1648"/>
      <c r="AB80" s="582"/>
      <c r="AC80" s="582"/>
      <c r="AD80" s="582"/>
      <c r="AE80" s="582"/>
      <c r="AF80" s="1657">
        <v>11</v>
      </c>
    </row>
    <row s="1657" customFormat="1" customHeight="1" ht="11.549999999999999">
      <c r="A81" s="1003"/>
      <c r="B81" s="1652"/>
      <c r="C81" s="1652"/>
      <c r="D81" s="367"/>
      <c r="K81" s="1176"/>
      <c r="L81" s="1652"/>
      <c r="M81" s="1652"/>
      <c r="N81" s="1176"/>
      <c r="O81" s="1176"/>
      <c r="P81" s="1176"/>
      <c r="Q81" s="1176"/>
      <c r="R81" s="1652"/>
      <c r="S81" s="1176"/>
      <c r="T81" s="1176"/>
      <c r="U81" s="560"/>
      <c r="V81" s="1176"/>
      <c r="W81" s="1176"/>
      <c r="X81" s="1176"/>
      <c r="Y81" s="1176"/>
      <c r="Z81" s="1176"/>
      <c r="AA81" s="1648"/>
      <c r="AB81" s="582"/>
      <c r="AC81" s="582"/>
      <c r="AD81" s="582"/>
      <c r="AE81" s="582"/>
      <c r="AF81" s="1657">
        <v>11</v>
      </c>
    </row>
    <row s="1657" customFormat="1" customHeight="1" ht="11.549999999999999">
      <c r="A82" s="1003"/>
      <c r="B82" s="1652"/>
      <c r="C82" s="1652"/>
      <c r="D82" s="367"/>
      <c r="K82" s="1176"/>
      <c r="L82" s="1652"/>
      <c r="M82" s="1652"/>
      <c r="N82" s="1176"/>
      <c r="O82" s="1176"/>
      <c r="P82" s="1176"/>
      <c r="Q82" s="1176"/>
      <c r="R82" s="1652"/>
      <c r="S82" s="1176"/>
      <c r="T82" s="1176"/>
      <c r="U82" s="560"/>
      <c r="V82" s="1176"/>
      <c r="W82" s="1176"/>
      <c r="X82" s="1176"/>
      <c r="Y82" s="1176"/>
      <c r="Z82" s="1176"/>
      <c r="AA82" s="1648"/>
      <c r="AB82" s="582"/>
      <c r="AC82" s="582"/>
      <c r="AD82" s="582"/>
      <c r="AE82" s="582"/>
      <c r="AF82" s="1657">
        <v>11</v>
      </c>
    </row>
    <row s="1657" customFormat="1" customHeight="1" ht="11.549999999999999">
      <c r="A83" s="1003"/>
      <c r="B83" s="1652"/>
      <c r="C83" s="1652"/>
      <c r="D83" s="367"/>
      <c r="K83" s="1176"/>
      <c r="L83" s="1652"/>
      <c r="M83" s="1652"/>
      <c r="N83" s="1176"/>
      <c r="O83" s="1176"/>
      <c r="P83" s="1176"/>
      <c r="Q83" s="1176"/>
      <c r="R83" s="1652"/>
      <c r="S83" s="1176"/>
      <c r="T83" s="1176"/>
      <c r="U83" s="560"/>
      <c r="V83" s="1176"/>
      <c r="W83" s="1176"/>
      <c r="X83" s="1176"/>
      <c r="Y83" s="1176"/>
      <c r="Z83" s="1176"/>
      <c r="AA83" s="1648"/>
      <c r="AB83" s="582"/>
      <c r="AC83" s="582"/>
      <c r="AD83" s="582"/>
      <c r="AE83" s="582"/>
      <c r="AF83" s="1657">
        <v>11</v>
      </c>
    </row>
    <row s="1657" customFormat="1" customHeight="1" ht="11.549999999999999">
      <c r="A84" s="1003"/>
      <c r="B84" s="1652"/>
      <c r="C84" s="1652"/>
      <c r="D84" s="367"/>
      <c r="K84" s="1176"/>
      <c r="L84" s="1652"/>
      <c r="M84" s="1652"/>
      <c r="N84" s="1176"/>
      <c r="O84" s="1176"/>
      <c r="P84" s="1176"/>
      <c r="Q84" s="1176"/>
      <c r="R84" s="1652"/>
      <c r="S84" s="1176"/>
      <c r="T84" s="1176"/>
      <c r="U84" s="560"/>
      <c r="V84" s="1176"/>
      <c r="W84" s="1176"/>
      <c r="X84" s="1176"/>
      <c r="Y84" s="1176"/>
      <c r="Z84" s="1176"/>
      <c r="AA84" s="1648"/>
      <c r="AB84" s="582"/>
      <c r="AC84" s="582"/>
      <c r="AD84" s="582"/>
      <c r="AE84" s="582"/>
      <c r="AF84" s="1657">
        <v>11</v>
      </c>
    </row>
    <row s="1657" customFormat="1" customHeight="1" ht="11.549999999999999">
      <c r="A85" s="1003"/>
      <c r="B85" s="1652"/>
      <c r="C85" s="1652"/>
      <c r="D85" s="367"/>
      <c r="K85" s="1176"/>
      <c r="L85" s="1652"/>
      <c r="M85" s="1652"/>
      <c r="N85" s="1176"/>
      <c r="O85" s="1176"/>
      <c r="P85" s="1176"/>
      <c r="Q85" s="1176"/>
      <c r="R85" s="1652"/>
      <c r="S85" s="1176"/>
      <c r="T85" s="1176"/>
      <c r="U85" s="560"/>
      <c r="V85" s="1176"/>
      <c r="W85" s="1176"/>
      <c r="X85" s="1176"/>
      <c r="Y85" s="1176"/>
      <c r="Z85" s="1176"/>
      <c r="AA85" s="1648"/>
      <c r="AB85" s="582"/>
      <c r="AC85" s="582"/>
      <c r="AD85" s="582"/>
      <c r="AE85" s="582"/>
      <c r="AF85" s="1657">
        <v>11</v>
      </c>
    </row>
    <row s="1657" customFormat="1" customHeight="1" ht="11.549999999999999">
      <c r="A86" s="1003"/>
      <c r="B86" s="1652"/>
      <c r="C86" s="1652"/>
      <c r="D86" s="367"/>
      <c r="K86" s="1176"/>
      <c r="L86" s="1652"/>
      <c r="M86" s="1652"/>
      <c r="N86" s="1176"/>
      <c r="O86" s="1176"/>
      <c r="P86" s="1176"/>
      <c r="Q86" s="1176"/>
      <c r="R86" s="1652"/>
      <c r="S86" s="1176"/>
      <c r="T86" s="1176"/>
      <c r="U86" s="560"/>
      <c r="V86" s="1176"/>
      <c r="W86" s="1176"/>
      <c r="X86" s="1176"/>
      <c r="Y86" s="1176"/>
      <c r="Z86" s="1176"/>
      <c r="AA86" s="1648"/>
      <c r="AB86" s="582"/>
      <c r="AC86" s="582"/>
      <c r="AD86" s="582"/>
      <c r="AE86" s="582"/>
      <c r="AF86" s="1657">
        <v>11</v>
      </c>
    </row>
    <row s="1657" customFormat="1" customHeight="1" ht="11.549999999999999">
      <c r="A87" s="1003"/>
      <c r="B87" s="1652"/>
      <c r="C87" s="1652"/>
      <c r="D87" s="367"/>
      <c r="K87" s="1176"/>
      <c r="L87" s="1652"/>
      <c r="M87" s="1652"/>
      <c r="N87" s="1176"/>
      <c r="O87" s="1176"/>
      <c r="P87" s="1176"/>
      <c r="Q87" s="1176"/>
      <c r="R87" s="1652"/>
      <c r="S87" s="1176"/>
      <c r="T87" s="1176"/>
      <c r="U87" s="560"/>
      <c r="V87" s="1176"/>
      <c r="W87" s="1176"/>
      <c r="X87" s="1176"/>
      <c r="Y87" s="1176"/>
      <c r="Z87" s="1176"/>
      <c r="AA87" s="1648"/>
      <c r="AB87" s="582"/>
      <c r="AC87" s="582"/>
      <c r="AD87" s="582"/>
      <c r="AE87" s="582"/>
      <c r="AF87" s="1657">
        <v>11</v>
      </c>
    </row>
    <row s="1657" customFormat="1" customHeight="1" ht="11.549999999999999">
      <c r="A88" s="1003"/>
      <c r="B88" s="1652"/>
      <c r="C88" s="1652"/>
      <c r="D88" s="367"/>
      <c r="K88" s="1176"/>
      <c r="L88" s="1652"/>
      <c r="M88" s="1652"/>
      <c r="N88" s="1176"/>
      <c r="O88" s="1176"/>
      <c r="P88" s="1176"/>
      <c r="Q88" s="1176"/>
      <c r="R88" s="1652"/>
      <c r="S88" s="1176"/>
      <c r="T88" s="1176"/>
      <c r="U88" s="560"/>
      <c r="V88" s="1176"/>
      <c r="W88" s="1176"/>
      <c r="X88" s="1176"/>
      <c r="Y88" s="1176"/>
      <c r="Z88" s="1176"/>
      <c r="AA88" s="1648"/>
      <c r="AB88" s="582"/>
      <c r="AC88" s="582"/>
      <c r="AD88" s="582"/>
      <c r="AE88" s="582"/>
      <c r="AF88" s="1657">
        <v>11</v>
      </c>
    </row>
    <row s="1657" customFormat="1" customHeight="1" ht="11.549999999999999">
      <c r="A89" s="1003"/>
      <c r="B89" s="1652"/>
      <c r="C89" s="1652"/>
      <c r="D89" s="367"/>
      <c r="K89" s="1176"/>
      <c r="L89" s="1652"/>
      <c r="M89" s="1652"/>
      <c r="N89" s="1176"/>
      <c r="O89" s="1176"/>
      <c r="P89" s="1176"/>
      <c r="Q89" s="1176"/>
      <c r="R89" s="1652"/>
      <c r="S89" s="1176"/>
      <c r="T89" s="1176"/>
      <c r="U89" s="560"/>
      <c r="V89" s="1176"/>
      <c r="W89" s="1176"/>
      <c r="X89" s="1176"/>
      <c r="Y89" s="1176"/>
      <c r="Z89" s="1176"/>
      <c r="AA89" s="1648"/>
      <c r="AB89" s="582"/>
      <c r="AC89" s="582"/>
      <c r="AD89" s="582"/>
      <c r="AE89" s="582"/>
      <c r="AF89" s="1657">
        <v>11</v>
      </c>
    </row>
    <row s="1657" customFormat="1" customHeight="1" ht="11.549999999999999">
      <c r="A90" s="1003"/>
      <c r="B90" s="1652"/>
      <c r="C90" s="1652"/>
      <c r="D90" s="367"/>
      <c r="K90" s="1176"/>
      <c r="L90" s="1652"/>
      <c r="M90" s="1652"/>
      <c r="N90" s="1176"/>
      <c r="O90" s="1176"/>
      <c r="P90" s="1176"/>
      <c r="Q90" s="1176"/>
      <c r="R90" s="1652"/>
      <c r="S90" s="1176"/>
      <c r="T90" s="1176"/>
      <c r="U90" s="560"/>
      <c r="V90" s="1176"/>
      <c r="W90" s="1176"/>
      <c r="X90" s="1176"/>
      <c r="Y90" s="1176"/>
      <c r="Z90" s="1176"/>
      <c r="AA90" s="1648"/>
      <c r="AB90" s="582"/>
      <c r="AC90" s="582"/>
      <c r="AD90" s="582"/>
      <c r="AE90" s="582"/>
      <c r="AF90" s="1657">
        <v>11</v>
      </c>
    </row>
    <row s="1657" customFormat="1" customHeight="1" ht="11.549999999999999">
      <c r="A91" s="1003"/>
      <c r="B91" s="1652"/>
      <c r="C91" s="1652"/>
      <c r="D91" s="367"/>
      <c r="K91" s="1176"/>
      <c r="L91" s="1652"/>
      <c r="M91" s="1652"/>
      <c r="N91" s="1176"/>
      <c r="O91" s="1176"/>
      <c r="P91" s="1176"/>
      <c r="Q91" s="1176"/>
      <c r="R91" s="1652"/>
      <c r="S91" s="1176"/>
      <c r="T91" s="1176"/>
      <c r="U91" s="560"/>
      <c r="V91" s="1176"/>
      <c r="W91" s="1176"/>
      <c r="X91" s="1176"/>
      <c r="Y91" s="1176"/>
      <c r="Z91" s="1176"/>
      <c r="AA91" s="1648"/>
      <c r="AB91" s="582"/>
      <c r="AC91" s="582"/>
      <c r="AD91" s="582"/>
      <c r="AE91" s="582"/>
      <c r="AF91" s="1657">
        <v>11</v>
      </c>
    </row>
    <row s="1657" customFormat="1" customHeight="1" ht="11.549999999999999">
      <c r="A92" s="1003"/>
      <c r="B92" s="1652"/>
      <c r="C92" s="1652"/>
      <c r="D92" s="367"/>
      <c r="K92" s="1176"/>
      <c r="L92" s="1652"/>
      <c r="M92" s="1652"/>
      <c r="N92" s="1176"/>
      <c r="O92" s="1176"/>
      <c r="P92" s="1176"/>
      <c r="Q92" s="1176"/>
      <c r="R92" s="1652"/>
      <c r="S92" s="1176"/>
      <c r="T92" s="1176"/>
      <c r="U92" s="560"/>
      <c r="V92" s="1176"/>
      <c r="W92" s="1176"/>
      <c r="X92" s="1176"/>
      <c r="Y92" s="1176"/>
      <c r="Z92" s="1176"/>
      <c r="AA92" s="1648"/>
      <c r="AB92" s="582"/>
      <c r="AC92" s="582"/>
      <c r="AD92" s="582"/>
      <c r="AE92" s="582"/>
      <c r="AF92" s="1657">
        <v>11</v>
      </c>
    </row>
    <row s="1657" customFormat="1" customHeight="1" ht="11.549999999999999">
      <c r="A93" s="1003"/>
      <c r="B93" s="1652"/>
      <c r="C93" s="1652"/>
      <c r="D93" s="367"/>
      <c r="K93" s="1176"/>
      <c r="L93" s="1652"/>
      <c r="M93" s="1652"/>
      <c r="N93" s="1176"/>
      <c r="O93" s="1176"/>
      <c r="P93" s="1176"/>
      <c r="Q93" s="1176"/>
      <c r="R93" s="1652"/>
      <c r="S93" s="1176"/>
      <c r="T93" s="1176"/>
      <c r="U93" s="560"/>
      <c r="V93" s="1176"/>
      <c r="W93" s="1176"/>
      <c r="X93" s="1176"/>
      <c r="Y93" s="1176"/>
      <c r="Z93" s="1176"/>
      <c r="AA93" s="1648"/>
      <c r="AB93" s="582"/>
      <c r="AC93" s="582"/>
      <c r="AD93" s="582"/>
      <c r="AE93" s="582"/>
      <c r="AF93" s="1657">
        <v>11</v>
      </c>
    </row>
    <row s="1657" customFormat="1" customHeight="1" ht="11.549999999999999">
      <c r="A94" s="1003"/>
      <c r="B94" s="1652"/>
      <c r="C94" s="1652"/>
      <c r="D94" s="367"/>
      <c r="K94" s="1176"/>
      <c r="L94" s="1652"/>
      <c r="M94" s="1652"/>
      <c r="N94" s="1176"/>
      <c r="O94" s="1176"/>
      <c r="P94" s="1176"/>
      <c r="Q94" s="1176"/>
      <c r="R94" s="1652"/>
      <c r="S94" s="1176"/>
      <c r="T94" s="1176"/>
      <c r="U94" s="560"/>
      <c r="V94" s="1176"/>
      <c r="W94" s="1176"/>
      <c r="X94" s="1176"/>
      <c r="Y94" s="1176"/>
      <c r="Z94" s="1176"/>
      <c r="AA94" s="1648"/>
      <c r="AB94" s="582"/>
      <c r="AC94" s="582"/>
      <c r="AD94" s="582"/>
      <c r="AE94" s="582"/>
      <c r="AF94" s="1657">
        <v>11</v>
      </c>
    </row>
    <row s="1657" customFormat="1" customHeight="1" ht="11.549999999999999">
      <c r="A95" s="1003"/>
      <c r="B95" s="1652"/>
      <c r="C95" s="1652"/>
      <c r="D95" s="367"/>
      <c r="K95" s="1176"/>
      <c r="L95" s="1652"/>
      <c r="M95" s="1652"/>
      <c r="N95" s="1176"/>
      <c r="O95" s="1176"/>
      <c r="P95" s="1176"/>
      <c r="Q95" s="1176"/>
      <c r="R95" s="1652"/>
      <c r="S95" s="1176"/>
      <c r="T95" s="1176"/>
      <c r="U95" s="560"/>
      <c r="V95" s="1176"/>
      <c r="W95" s="1176"/>
      <c r="X95" s="1176"/>
      <c r="Y95" s="1176"/>
      <c r="Z95" s="1176"/>
      <c r="AA95" s="1648"/>
      <c r="AB95" s="582"/>
      <c r="AC95" s="582"/>
      <c r="AD95" s="582"/>
      <c r="AE95" s="582"/>
      <c r="AF95" s="1657">
        <v>11</v>
      </c>
    </row>
    <row s="1657" customFormat="1" customHeight="1" ht="11.549999999999999">
      <c r="A96" s="1003"/>
      <c r="B96" s="1652"/>
      <c r="C96" s="1652"/>
      <c r="D96" s="367"/>
      <c r="K96" s="1176"/>
      <c r="L96" s="1652"/>
      <c r="M96" s="1652"/>
      <c r="N96" s="1176"/>
      <c r="O96" s="1176"/>
      <c r="P96" s="1176"/>
      <c r="Q96" s="1176"/>
      <c r="R96" s="1652"/>
      <c r="S96" s="1176"/>
      <c r="T96" s="1176"/>
      <c r="U96" s="560"/>
      <c r="V96" s="1176"/>
      <c r="W96" s="1176"/>
      <c r="X96" s="1176"/>
      <c r="Y96" s="1176"/>
      <c r="Z96" s="1176"/>
      <c r="AA96" s="1648"/>
      <c r="AB96" s="582"/>
      <c r="AC96" s="582"/>
      <c r="AD96" s="582"/>
      <c r="AE96" s="582"/>
      <c r="AF96" s="1657">
        <v>11</v>
      </c>
    </row>
    <row s="1657" customFormat="1" customHeight="1" ht="11.549999999999999">
      <c r="A97" s="1003"/>
      <c r="B97" s="1652"/>
      <c r="C97" s="1652"/>
      <c r="D97" s="367"/>
      <c r="K97" s="1176"/>
      <c r="L97" s="1652"/>
      <c r="M97" s="1652"/>
      <c r="N97" s="1176"/>
      <c r="O97" s="1176"/>
      <c r="P97" s="1176"/>
      <c r="Q97" s="1176"/>
      <c r="R97" s="1652"/>
      <c r="S97" s="1176"/>
      <c r="T97" s="1176"/>
      <c r="U97" s="560"/>
      <c r="V97" s="1176"/>
      <c r="W97" s="1176"/>
      <c r="X97" s="1176"/>
      <c r="Y97" s="1176"/>
      <c r="Z97" s="1176"/>
      <c r="AA97" s="1648"/>
      <c r="AB97" s="582"/>
      <c r="AC97" s="582"/>
      <c r="AD97" s="582"/>
      <c r="AE97" s="582"/>
      <c r="AF97" s="1657">
        <v>11</v>
      </c>
    </row>
    <row s="1657" customFormat="1" customHeight="1" ht="11.549999999999999">
      <c r="A98" s="1003"/>
      <c r="B98" s="1652"/>
      <c r="C98" s="1652"/>
      <c r="D98" s="367"/>
      <c r="K98" s="1176"/>
      <c r="L98" s="1652"/>
      <c r="M98" s="1652"/>
      <c r="N98" s="1176"/>
      <c r="O98" s="1176"/>
      <c r="P98" s="1176"/>
      <c r="Q98" s="1176"/>
      <c r="R98" s="1652"/>
      <c r="S98" s="1176"/>
      <c r="T98" s="1176"/>
      <c r="U98" s="560"/>
      <c r="V98" s="1176"/>
      <c r="W98" s="1176"/>
      <c r="X98" s="1176"/>
      <c r="Y98" s="1176"/>
      <c r="Z98" s="1176"/>
      <c r="AA98" s="1648"/>
      <c r="AB98" s="582"/>
      <c r="AC98" s="582"/>
      <c r="AD98" s="582"/>
      <c r="AE98" s="582"/>
      <c r="AF98" s="1657">
        <v>11</v>
      </c>
    </row>
    <row s="1657" customFormat="1" customHeight="1" ht="11.549999999999999">
      <c r="A99" s="1003"/>
      <c r="B99" s="1652"/>
      <c r="C99" s="1652"/>
      <c r="D99" s="367"/>
      <c r="K99" s="1176"/>
      <c r="L99" s="1652"/>
      <c r="M99" s="1652"/>
      <c r="N99" s="1176"/>
      <c r="O99" s="1176"/>
      <c r="P99" s="1176"/>
      <c r="Q99" s="1176"/>
      <c r="R99" s="1652"/>
      <c r="S99" s="1176"/>
      <c r="T99" s="1176"/>
      <c r="U99" s="560"/>
      <c r="V99" s="1176"/>
      <c r="W99" s="1176"/>
      <c r="X99" s="1176"/>
      <c r="Y99" s="1176"/>
      <c r="Z99" s="1176"/>
      <c r="AA99" s="1648"/>
      <c r="AB99" s="582"/>
      <c r="AC99" s="582"/>
      <c r="AD99" s="582"/>
      <c r="AE99" s="582"/>
      <c r="AF99" s="1657">
        <v>11</v>
      </c>
    </row>
    <row s="1657" customFormat="1" customHeight="1" ht="11.549999999999999">
      <c r="A100" s="1003"/>
      <c r="B100" s="1652"/>
      <c r="C100" s="1652"/>
      <c r="D100" s="367"/>
      <c r="K100" s="1176"/>
      <c r="L100" s="1652"/>
      <c r="M100" s="1652"/>
      <c r="N100" s="1176"/>
      <c r="O100" s="1176"/>
      <c r="P100" s="1176"/>
      <c r="Q100" s="1176"/>
      <c r="R100" s="1652"/>
      <c r="S100" s="1176"/>
      <c r="T100" s="1176"/>
      <c r="U100" s="560"/>
      <c r="V100" s="1176"/>
      <c r="W100" s="1176"/>
      <c r="X100" s="1176"/>
      <c r="Y100" s="1176"/>
      <c r="Z100" s="1176"/>
      <c r="AA100" s="1648"/>
      <c r="AB100" s="582"/>
      <c r="AC100" s="582"/>
      <c r="AD100" s="582"/>
      <c r="AE100" s="582"/>
      <c r="AF100" s="1657">
        <v>11</v>
      </c>
    </row>
    <row s="1657" customFormat="1" customHeight="1" ht="11.549999999999999">
      <c r="A101" s="1003"/>
      <c r="B101" s="1652"/>
      <c r="C101" s="1652"/>
      <c r="D101" s="367"/>
      <c r="K101" s="1176"/>
      <c r="L101" s="1652"/>
      <c r="M101" s="1652"/>
      <c r="N101" s="1176"/>
      <c r="O101" s="1176"/>
      <c r="P101" s="1176"/>
      <c r="Q101" s="1176"/>
      <c r="R101" s="1652"/>
      <c r="S101" s="1176"/>
      <c r="T101" s="1176"/>
      <c r="U101" s="560"/>
      <c r="V101" s="1176"/>
      <c r="W101" s="1176"/>
      <c r="X101" s="1176"/>
      <c r="Y101" s="1176"/>
      <c r="Z101" s="1176"/>
      <c r="AA101" s="1648"/>
      <c r="AB101" s="582"/>
      <c r="AC101" s="582"/>
      <c r="AD101" s="582"/>
      <c r="AE101" s="582"/>
      <c r="AF101" s="1657">
        <v>11</v>
      </c>
    </row>
    <row s="1657" customFormat="1" customHeight="1" ht="11.549999999999999">
      <c r="A102" s="1003"/>
      <c r="B102" s="1652"/>
      <c r="C102" s="1652"/>
      <c r="D102" s="367"/>
      <c r="K102" s="1176"/>
      <c r="L102" s="1652"/>
      <c r="M102" s="1652"/>
      <c r="N102" s="1176"/>
      <c r="O102" s="1176"/>
      <c r="P102" s="1176"/>
      <c r="Q102" s="1176"/>
      <c r="R102" s="1652"/>
      <c r="S102" s="1176"/>
      <c r="T102" s="1176"/>
      <c r="U102" s="560"/>
      <c r="V102" s="1176"/>
      <c r="W102" s="1176"/>
      <c r="X102" s="1176"/>
      <c r="Y102" s="1176"/>
      <c r="Z102" s="1176"/>
      <c r="AA102" s="1648"/>
      <c r="AB102" s="582"/>
      <c r="AC102" s="582"/>
      <c r="AD102" s="582"/>
      <c r="AE102" s="582"/>
      <c r="AF102" s="1657">
        <v>11</v>
      </c>
    </row>
    <row s="1657" customFormat="1" customHeight="1" ht="11.549999999999999">
      <c r="A103" s="1003"/>
      <c r="B103" s="1652"/>
      <c r="C103" s="1652"/>
      <c r="D103" s="367"/>
      <c r="K103" s="1176"/>
      <c r="L103" s="1652"/>
      <c r="M103" s="1652"/>
      <c r="N103" s="1176"/>
      <c r="O103" s="1176"/>
      <c r="P103" s="1176"/>
      <c r="Q103" s="1176"/>
      <c r="R103" s="1652"/>
      <c r="S103" s="1176"/>
      <c r="T103" s="1176"/>
      <c r="U103" s="560"/>
      <c r="V103" s="1176"/>
      <c r="W103" s="1176"/>
      <c r="X103" s="1176"/>
      <c r="Y103" s="1176"/>
      <c r="Z103" s="1176"/>
      <c r="AA103" s="1648"/>
      <c r="AB103" s="582"/>
      <c r="AC103" s="582"/>
      <c r="AD103" s="582"/>
      <c r="AE103" s="582"/>
      <c r="AF103" s="1657">
        <v>11</v>
      </c>
    </row>
    <row s="1657" customFormat="1" customHeight="1" ht="11.549999999999999">
      <c r="A104" s="1003"/>
      <c r="B104" s="1652"/>
      <c r="C104" s="1652"/>
      <c r="D104" s="367"/>
      <c r="K104" s="1176"/>
      <c r="L104" s="1652"/>
      <c r="M104" s="1652"/>
      <c r="N104" s="1176"/>
      <c r="O104" s="1176"/>
      <c r="P104" s="1176"/>
      <c r="Q104" s="1176"/>
      <c r="R104" s="1652"/>
      <c r="S104" s="1176"/>
      <c r="T104" s="1176"/>
      <c r="U104" s="560"/>
      <c r="V104" s="1176"/>
      <c r="W104" s="1176"/>
      <c r="X104" s="1176"/>
      <c r="Y104" s="1176"/>
      <c r="Z104" s="1176"/>
      <c r="AA104" s="1648"/>
      <c r="AB104" s="582"/>
      <c r="AC104" s="582"/>
      <c r="AD104" s="582"/>
      <c r="AE104" s="582"/>
      <c r="AF104" s="1657">
        <v>11</v>
      </c>
    </row>
    <row s="1657" customFormat="1" customHeight="1" ht="11.549999999999999">
      <c r="A105" s="1003"/>
      <c r="B105" s="1652"/>
      <c r="C105" s="1652"/>
      <c r="D105" s="367"/>
      <c r="K105" s="1176"/>
      <c r="L105" s="1652"/>
      <c r="M105" s="1652"/>
      <c r="N105" s="1176"/>
      <c r="O105" s="1176"/>
      <c r="P105" s="1176"/>
      <c r="Q105" s="1176"/>
      <c r="R105" s="1652"/>
      <c r="S105" s="1176"/>
      <c r="T105" s="1176"/>
      <c r="U105" s="560"/>
      <c r="V105" s="1176"/>
      <c r="W105" s="1176"/>
      <c r="X105" s="1176"/>
      <c r="Y105" s="1176"/>
      <c r="Z105" s="1176"/>
      <c r="AA105" s="1648"/>
      <c r="AB105" s="582"/>
      <c r="AC105" s="582"/>
      <c r="AD105" s="582"/>
      <c r="AE105" s="582"/>
      <c r="AF105" s="1657">
        <v>11</v>
      </c>
    </row>
    <row s="1657" customFormat="1" customHeight="1" ht="11.549999999999999">
      <c r="A106" s="1003"/>
      <c r="B106" s="1652"/>
      <c r="C106" s="1652"/>
      <c r="D106" s="367"/>
      <c r="K106" s="1176"/>
      <c r="L106" s="1652"/>
      <c r="M106" s="1652"/>
      <c r="N106" s="1176"/>
      <c r="O106" s="1176"/>
      <c r="P106" s="1176"/>
      <c r="Q106" s="1176"/>
      <c r="R106" s="1652"/>
      <c r="S106" s="1176"/>
      <c r="T106" s="1176"/>
      <c r="U106" s="560"/>
      <c r="V106" s="1176"/>
      <c r="W106" s="1176"/>
      <c r="X106" s="1176"/>
      <c r="Y106" s="1176"/>
      <c r="Z106" s="1176"/>
      <c r="AA106" s="1648"/>
      <c r="AB106" s="582"/>
      <c r="AC106" s="582"/>
      <c r="AD106" s="582"/>
      <c r="AE106" s="582"/>
      <c r="AF106" s="1657">
        <v>11</v>
      </c>
    </row>
    <row s="1657" customFormat="1" customHeight="1" ht="11.549999999999999">
      <c r="A107" s="1003"/>
      <c r="B107" s="1652"/>
      <c r="C107" s="1652"/>
      <c r="D107" s="367"/>
      <c r="K107" s="1176"/>
      <c r="L107" s="1652"/>
      <c r="M107" s="1652"/>
      <c r="N107" s="1176"/>
      <c r="O107" s="1176"/>
      <c r="P107" s="1176"/>
      <c r="Q107" s="1176"/>
      <c r="R107" s="1652"/>
      <c r="S107" s="1176"/>
      <c r="T107" s="1176"/>
      <c r="U107" s="560"/>
      <c r="V107" s="1176"/>
      <c r="W107" s="1176"/>
      <c r="X107" s="1176"/>
      <c r="Y107" s="1176"/>
      <c r="Z107" s="1176"/>
      <c r="AA107" s="1648"/>
      <c r="AB107" s="582"/>
      <c r="AC107" s="582"/>
      <c r="AD107" s="582"/>
      <c r="AE107" s="582"/>
      <c r="AF107" s="1657">
        <v>11</v>
      </c>
    </row>
    <row s="1657" customFormat="1" customHeight="1" ht="11.549999999999999">
      <c r="A108" s="1003"/>
      <c r="B108" s="1652"/>
      <c r="C108" s="1652"/>
      <c r="D108" s="367"/>
      <c r="K108" s="1176"/>
      <c r="L108" s="1652"/>
      <c r="M108" s="1652"/>
      <c r="N108" s="1176"/>
      <c r="O108" s="1176"/>
      <c r="P108" s="1176"/>
      <c r="Q108" s="1176"/>
      <c r="R108" s="1652"/>
      <c r="S108" s="1176"/>
      <c r="T108" s="1176"/>
      <c r="U108" s="560"/>
      <c r="V108" s="1176"/>
      <c r="W108" s="1176"/>
      <c r="X108" s="1176"/>
      <c r="Y108" s="1176"/>
      <c r="Z108" s="1176"/>
      <c r="AA108" s="1648"/>
      <c r="AB108" s="582"/>
      <c r="AC108" s="582"/>
      <c r="AD108" s="582"/>
      <c r="AE108" s="582"/>
      <c r="AF108" s="1657">
        <v>11</v>
      </c>
    </row>
    <row s="1657" customFormat="1" customHeight="1" ht="11.549999999999999">
      <c r="A109" s="1003"/>
      <c r="B109" s="1652"/>
      <c r="C109" s="1652"/>
      <c r="D109" s="367"/>
      <c r="K109" s="1176"/>
      <c r="L109" s="1652"/>
      <c r="M109" s="1652"/>
      <c r="N109" s="1176"/>
      <c r="O109" s="1176"/>
      <c r="P109" s="1176"/>
      <c r="Q109" s="1176"/>
      <c r="R109" s="1652"/>
      <c r="S109" s="1176"/>
      <c r="T109" s="1176"/>
      <c r="U109" s="560"/>
      <c r="V109" s="1176"/>
      <c r="W109" s="1176"/>
      <c r="X109" s="1176"/>
      <c r="Y109" s="1176"/>
      <c r="Z109" s="1176"/>
      <c r="AA109" s="1648"/>
      <c r="AB109" s="582"/>
      <c r="AC109" s="582"/>
      <c r="AD109" s="582"/>
      <c r="AE109" s="582"/>
      <c r="AF109" s="1657">
        <v>11</v>
      </c>
    </row>
    <row s="1657" customFormat="1" customHeight="1" ht="11.549999999999999">
      <c r="A110" s="1003"/>
      <c r="B110" s="1652"/>
      <c r="C110" s="1652"/>
      <c r="D110" s="367"/>
      <c r="K110" s="1176"/>
      <c r="L110" s="1652"/>
      <c r="M110" s="1652"/>
      <c r="N110" s="1176"/>
      <c r="O110" s="1176"/>
      <c r="P110" s="1176"/>
      <c r="Q110" s="1176"/>
      <c r="R110" s="1652"/>
      <c r="S110" s="1176"/>
      <c r="T110" s="1176"/>
      <c r="U110" s="560"/>
      <c r="V110" s="1176"/>
      <c r="W110" s="1176"/>
      <c r="X110" s="1176"/>
      <c r="Y110" s="1176"/>
      <c r="Z110" s="1176"/>
      <c r="AA110" s="1648"/>
      <c r="AB110" s="582"/>
      <c r="AC110" s="582"/>
      <c r="AD110" s="582"/>
      <c r="AE110" s="582"/>
      <c r="AF110" s="1657">
        <v>11</v>
      </c>
    </row>
    <row s="1657" customFormat="1" customHeight="1" ht="11.549999999999999">
      <c r="A111" s="1003"/>
      <c r="B111" s="1652"/>
      <c r="C111" s="1652"/>
      <c r="D111" s="367"/>
      <c r="K111" s="1176"/>
      <c r="L111" s="1652"/>
      <c r="M111" s="1652"/>
      <c r="N111" s="1176"/>
      <c r="O111" s="1176"/>
      <c r="P111" s="1176"/>
      <c r="Q111" s="1176"/>
      <c r="R111" s="1652"/>
      <c r="S111" s="1176"/>
      <c r="T111" s="1176"/>
      <c r="U111" s="560"/>
      <c r="V111" s="1176"/>
      <c r="W111" s="1176"/>
      <c r="X111" s="1176"/>
      <c r="Y111" s="1176"/>
      <c r="Z111" s="1176"/>
      <c r="AA111" s="1648"/>
      <c r="AB111" s="582"/>
      <c r="AC111" s="582"/>
      <c r="AD111" s="582"/>
      <c r="AE111" s="582"/>
      <c r="AF111" s="1657">
        <v>11</v>
      </c>
    </row>
    <row s="1657" customFormat="1" customHeight="1" ht="11.549999999999999">
      <c r="A112" s="1003"/>
      <c r="B112" s="1652"/>
      <c r="C112" s="1652"/>
      <c r="D112" s="367"/>
      <c r="K112" s="1176"/>
      <c r="L112" s="1652"/>
      <c r="M112" s="1652"/>
      <c r="N112" s="1176"/>
      <c r="O112" s="1176"/>
      <c r="P112" s="1176"/>
      <c r="Q112" s="1176"/>
      <c r="R112" s="1652"/>
      <c r="S112" s="1176"/>
      <c r="T112" s="1176"/>
      <c r="U112" s="560"/>
      <c r="V112" s="1176"/>
      <c r="W112" s="1176"/>
      <c r="X112" s="1176"/>
      <c r="Y112" s="1176"/>
      <c r="Z112" s="1176"/>
      <c r="AA112" s="1648"/>
      <c r="AB112" s="582"/>
      <c r="AC112" s="582"/>
      <c r="AD112" s="582"/>
      <c r="AE112" s="582"/>
      <c r="AF112" s="1657">
        <v>11</v>
      </c>
    </row>
    <row s="1657" customFormat="1" customHeight="1" ht="11.549999999999999">
      <c r="A113" s="1003"/>
      <c r="B113" s="1652"/>
      <c r="C113" s="1652"/>
      <c r="D113" s="367"/>
      <c r="K113" s="1176"/>
      <c r="L113" s="1652"/>
      <c r="M113" s="1652"/>
      <c r="N113" s="1176"/>
      <c r="O113" s="1176"/>
      <c r="P113" s="1176"/>
      <c r="Q113" s="1176"/>
      <c r="R113" s="1652"/>
      <c r="S113" s="1176"/>
      <c r="T113" s="1176"/>
      <c r="U113" s="560"/>
      <c r="V113" s="1176"/>
      <c r="W113" s="1176"/>
      <c r="X113" s="1176"/>
      <c r="Y113" s="1176"/>
      <c r="Z113" s="1176"/>
      <c r="AA113" s="1648"/>
      <c r="AB113" s="582"/>
      <c r="AC113" s="582"/>
      <c r="AD113" s="582"/>
      <c r="AE113" s="582"/>
      <c r="AF113" s="1657">
        <v>11</v>
      </c>
    </row>
    <row s="1657" customFormat="1" customHeight="1" ht="11.549999999999999">
      <c r="A114" s="1003"/>
      <c r="B114" s="1652"/>
      <c r="C114" s="1652"/>
      <c r="D114" s="367"/>
      <c r="K114" s="1176"/>
      <c r="L114" s="1652"/>
      <c r="M114" s="1652"/>
      <c r="N114" s="1176"/>
      <c r="O114" s="1176"/>
      <c r="P114" s="1176"/>
      <c r="Q114" s="1176"/>
      <c r="R114" s="1652"/>
      <c r="S114" s="1176"/>
      <c r="T114" s="1176"/>
      <c r="U114" s="560"/>
      <c r="V114" s="1176"/>
      <c r="W114" s="1176"/>
      <c r="X114" s="1176"/>
      <c r="Y114" s="1176"/>
      <c r="Z114" s="1176"/>
      <c r="AA114" s="1648"/>
      <c r="AB114" s="582"/>
      <c r="AC114" s="582"/>
      <c r="AD114" s="582"/>
      <c r="AE114" s="582"/>
      <c r="AF114" s="1657">
        <v>11</v>
      </c>
    </row>
    <row s="1657" customFormat="1" customHeight="1" ht="11.549999999999999">
      <c r="A115" s="1003"/>
      <c r="B115" s="1652"/>
      <c r="C115" s="1652"/>
      <c r="D115" s="367"/>
      <c r="K115" s="1176"/>
      <c r="L115" s="1652"/>
      <c r="M115" s="1652"/>
      <c r="N115" s="1176"/>
      <c r="O115" s="1176"/>
      <c r="P115" s="1176"/>
      <c r="Q115" s="1176"/>
      <c r="R115" s="1652"/>
      <c r="S115" s="1176"/>
      <c r="T115" s="1176"/>
      <c r="U115" s="560"/>
      <c r="V115" s="1176"/>
      <c r="W115" s="1176"/>
      <c r="X115" s="1176"/>
      <c r="Y115" s="1176"/>
      <c r="Z115" s="1176"/>
      <c r="AA115" s="1648"/>
      <c r="AB115" s="582"/>
      <c r="AC115" s="582"/>
      <c r="AD115" s="582"/>
      <c r="AE115" s="582"/>
      <c r="AF115" s="1657">
        <v>11</v>
      </c>
    </row>
    <row s="1657" customFormat="1" customHeight="1" ht="11.549999999999999">
      <c r="A116" s="1003"/>
      <c r="B116" s="1652"/>
      <c r="C116" s="1652"/>
      <c r="D116" s="367"/>
      <c r="K116" s="1176"/>
      <c r="L116" s="1652"/>
      <c r="M116" s="1652"/>
      <c r="N116" s="1176"/>
      <c r="O116" s="1176"/>
      <c r="P116" s="1176"/>
      <c r="Q116" s="1176"/>
      <c r="R116" s="1652"/>
      <c r="S116" s="1176"/>
      <c r="T116" s="1176"/>
      <c r="U116" s="560"/>
      <c r="V116" s="1176"/>
      <c r="W116" s="1176"/>
      <c r="X116" s="1176"/>
      <c r="Y116" s="1176"/>
      <c r="Z116" s="1176"/>
      <c r="AA116" s="1648"/>
      <c r="AB116" s="582"/>
      <c r="AC116" s="582"/>
      <c r="AD116" s="582"/>
      <c r="AE116" s="582"/>
      <c r="AF116" s="1657">
        <v>11</v>
      </c>
    </row>
    <row s="1657" customFormat="1" customHeight="1" ht="11.549999999999999">
      <c r="A117" s="1003"/>
      <c r="B117" s="1652"/>
      <c r="C117" s="1652"/>
      <c r="D117" s="367"/>
      <c r="K117" s="1176"/>
      <c r="L117" s="1652"/>
      <c r="M117" s="1652"/>
      <c r="N117" s="1176"/>
      <c r="O117" s="1176"/>
      <c r="P117" s="1176"/>
      <c r="Q117" s="1176"/>
      <c r="R117" s="1652"/>
      <c r="S117" s="1176"/>
      <c r="T117" s="1176"/>
      <c r="U117" s="560"/>
      <c r="V117" s="1176"/>
      <c r="W117" s="1176"/>
      <c r="X117" s="1176"/>
      <c r="Y117" s="1176"/>
      <c r="Z117" s="1176"/>
      <c r="AA117" s="1648"/>
      <c r="AB117" s="582"/>
      <c r="AC117" s="582"/>
      <c r="AD117" s="582"/>
      <c r="AE117" s="582"/>
      <c r="AF117" s="1657">
        <v>11</v>
      </c>
    </row>
    <row s="1657" customFormat="1" customHeight="1" ht="11.549999999999999">
      <c r="A118" s="1003"/>
      <c r="B118" s="1652"/>
      <c r="C118" s="1652"/>
      <c r="D118" s="367"/>
      <c r="K118" s="1176"/>
      <c r="L118" s="1652"/>
      <c r="M118" s="1652"/>
      <c r="N118" s="1176"/>
      <c r="O118" s="1176"/>
      <c r="P118" s="1176"/>
      <c r="Q118" s="1176"/>
      <c r="R118" s="1652"/>
      <c r="S118" s="1176"/>
      <c r="T118" s="1176"/>
      <c r="U118" s="560"/>
      <c r="V118" s="1176"/>
      <c r="W118" s="1176"/>
      <c r="X118" s="1176"/>
      <c r="Y118" s="1176"/>
      <c r="Z118" s="1176"/>
      <c r="AA118" s="1648"/>
      <c r="AB118" s="582"/>
      <c r="AC118" s="582"/>
      <c r="AD118" s="582"/>
      <c r="AE118" s="582"/>
      <c r="AF118" s="1657">
        <v>11</v>
      </c>
    </row>
    <row s="1657" customFormat="1" customHeight="1" ht="11.549999999999999">
      <c r="A119" s="1003"/>
      <c r="B119" s="1652"/>
      <c r="C119" s="1652"/>
      <c r="D119" s="367"/>
      <c r="K119" s="1176"/>
      <c r="L119" s="1652"/>
      <c r="M119" s="1652"/>
      <c r="N119" s="1176"/>
      <c r="O119" s="1176"/>
      <c r="P119" s="1176"/>
      <c r="Q119" s="1176"/>
      <c r="R119" s="1652"/>
      <c r="S119" s="1176"/>
      <c r="T119" s="1176"/>
      <c r="U119" s="560"/>
      <c r="V119" s="1176"/>
      <c r="W119" s="1176"/>
      <c r="X119" s="1176"/>
      <c r="Y119" s="1176"/>
      <c r="Z119" s="1176"/>
      <c r="AA119" s="1648"/>
      <c r="AB119" s="582"/>
      <c r="AC119" s="582"/>
      <c r="AD119" s="582"/>
      <c r="AE119" s="582"/>
      <c r="AF119" s="1657">
        <v>11</v>
      </c>
    </row>
    <row s="1657" customFormat="1" customHeight="1" ht="11.549999999999999">
      <c r="A120" s="1003"/>
      <c r="B120" s="1652"/>
      <c r="C120" s="1652"/>
      <c r="D120" s="367"/>
      <c r="K120" s="1176"/>
      <c r="L120" s="1652"/>
      <c r="M120" s="1652"/>
      <c r="N120" s="1176"/>
      <c r="O120" s="1176"/>
      <c r="P120" s="1176"/>
      <c r="Q120" s="1176"/>
      <c r="R120" s="1652"/>
      <c r="S120" s="1176"/>
      <c r="T120" s="1176"/>
      <c r="U120" s="560"/>
      <c r="V120" s="1176"/>
      <c r="W120" s="1176"/>
      <c r="X120" s="1176"/>
      <c r="Y120" s="1176"/>
      <c r="Z120" s="1176"/>
      <c r="AA120" s="1648"/>
      <c r="AB120" s="582"/>
      <c r="AC120" s="582"/>
      <c r="AD120" s="582"/>
      <c r="AE120" s="582"/>
      <c r="AF120" s="1657">
        <v>11</v>
      </c>
    </row>
    <row s="1657" customFormat="1" customHeight="1" ht="11.549999999999999">
      <c r="A121" s="1003"/>
      <c r="B121" s="1652"/>
      <c r="C121" s="1652"/>
      <c r="D121" s="367"/>
      <c r="K121" s="1176"/>
      <c r="L121" s="1652"/>
      <c r="M121" s="1652"/>
      <c r="N121" s="1176"/>
      <c r="O121" s="1176"/>
      <c r="P121" s="1176"/>
      <c r="Q121" s="1176"/>
      <c r="R121" s="1652"/>
      <c r="S121" s="1176"/>
      <c r="T121" s="1176"/>
      <c r="U121" s="560"/>
      <c r="V121" s="1176"/>
      <c r="W121" s="1176"/>
      <c r="X121" s="1176"/>
      <c r="Y121" s="1176"/>
      <c r="Z121" s="1176"/>
      <c r="AA121" s="1648"/>
      <c r="AB121" s="582"/>
      <c r="AC121" s="582"/>
      <c r="AD121" s="582"/>
      <c r="AE121" s="582"/>
      <c r="AF121" s="1657">
        <v>11</v>
      </c>
    </row>
    <row s="1657" customFormat="1" customHeight="1" ht="11.549999999999999">
      <c r="A122" s="1003"/>
      <c r="B122" s="1652"/>
      <c r="C122" s="1652"/>
      <c r="D122" s="367"/>
      <c r="K122" s="1176"/>
      <c r="L122" s="1652"/>
      <c r="M122" s="1652"/>
      <c r="N122" s="1176"/>
      <c r="O122" s="1176"/>
      <c r="P122" s="1176"/>
      <c r="Q122" s="1176"/>
      <c r="R122" s="1652"/>
      <c r="S122" s="1176"/>
      <c r="T122" s="1176"/>
      <c r="U122" s="560"/>
      <c r="V122" s="1176"/>
      <c r="W122" s="1176"/>
      <c r="X122" s="1176"/>
      <c r="Y122" s="1176"/>
      <c r="Z122" s="1176"/>
      <c r="AA122" s="1648"/>
      <c r="AB122" s="582"/>
      <c r="AC122" s="582"/>
      <c r="AD122" s="582"/>
      <c r="AE122" s="582"/>
      <c r="AF122" s="1657">
        <v>11</v>
      </c>
    </row>
    <row s="1657" customFormat="1" customHeight="1" ht="11.549999999999999">
      <c r="A123" s="1003"/>
      <c r="B123" s="1652"/>
      <c r="C123" s="1652"/>
      <c r="D123" s="367"/>
      <c r="K123" s="1176"/>
      <c r="L123" s="1652"/>
      <c r="M123" s="1652"/>
      <c r="N123" s="1176"/>
      <c r="O123" s="1176"/>
      <c r="P123" s="1176"/>
      <c r="Q123" s="1176"/>
      <c r="R123" s="1652"/>
      <c r="S123" s="1176"/>
      <c r="T123" s="1176"/>
      <c r="U123" s="560"/>
      <c r="V123" s="1176"/>
      <c r="W123" s="1176"/>
      <c r="X123" s="1176"/>
      <c r="Y123" s="1176"/>
      <c r="Z123" s="1176"/>
      <c r="AA123" s="1648"/>
      <c r="AB123" s="582"/>
      <c r="AC123" s="582"/>
      <c r="AD123" s="582"/>
      <c r="AE123" s="582"/>
      <c r="AF123" s="1657">
        <v>11</v>
      </c>
    </row>
    <row s="1657" customFormat="1" customHeight="1" ht="11.549999999999999">
      <c r="A124" s="1003"/>
      <c r="B124" s="1652"/>
      <c r="C124" s="1652"/>
      <c r="D124" s="367"/>
      <c r="K124" s="1176"/>
      <c r="L124" s="1652"/>
      <c r="M124" s="1652"/>
      <c r="N124" s="1176"/>
      <c r="O124" s="1176"/>
      <c r="P124" s="1176"/>
      <c r="Q124" s="1176"/>
      <c r="R124" s="1652"/>
      <c r="S124" s="1176"/>
      <c r="T124" s="1176"/>
      <c r="U124" s="560"/>
      <c r="V124" s="1176"/>
      <c r="W124" s="1176"/>
      <c r="X124" s="1176"/>
      <c r="Y124" s="1176"/>
      <c r="Z124" s="1176"/>
      <c r="AA124" s="1648"/>
      <c r="AB124" s="582"/>
      <c r="AC124" s="582"/>
      <c r="AD124" s="582"/>
      <c r="AE124" s="582"/>
      <c r="AF124" s="1657">
        <v>11</v>
      </c>
    </row>
    <row s="1657" customFormat="1" customHeight="1" ht="11.549999999999999">
      <c r="A125" s="1003"/>
      <c r="B125" s="1652"/>
      <c r="C125" s="1652"/>
      <c r="D125" s="367"/>
      <c r="K125" s="1176"/>
      <c r="L125" s="1652"/>
      <c r="M125" s="1652"/>
      <c r="N125" s="1176"/>
      <c r="O125" s="1176"/>
      <c r="P125" s="1176"/>
      <c r="Q125" s="1176"/>
      <c r="R125" s="1652"/>
      <c r="S125" s="1176"/>
      <c r="T125" s="1176"/>
      <c r="U125" s="560"/>
      <c r="V125" s="1176"/>
      <c r="W125" s="1176"/>
      <c r="X125" s="1176"/>
      <c r="Y125" s="1176"/>
      <c r="Z125" s="1176"/>
      <c r="AA125" s="1648"/>
      <c r="AB125" s="582"/>
      <c r="AC125" s="582"/>
      <c r="AD125" s="582"/>
      <c r="AE125" s="582"/>
      <c r="AF125" s="1657">
        <v>11</v>
      </c>
    </row>
    <row s="1657" customFormat="1" customHeight="1" ht="11.549999999999999">
      <c r="A126" s="1003"/>
      <c r="B126" s="1652"/>
      <c r="C126" s="1652"/>
      <c r="D126" s="367"/>
      <c r="K126" s="1176"/>
      <c r="L126" s="1652"/>
      <c r="M126" s="1652"/>
      <c r="N126" s="1176"/>
      <c r="O126" s="1176"/>
      <c r="P126" s="1176"/>
      <c r="Q126" s="1176"/>
      <c r="R126" s="1652"/>
      <c r="S126" s="1176"/>
      <c r="T126" s="1176"/>
      <c r="U126" s="560"/>
      <c r="V126" s="1176"/>
      <c r="W126" s="1176"/>
      <c r="X126" s="1176"/>
      <c r="Y126" s="1176"/>
      <c r="Z126" s="1176"/>
      <c r="AA126" s="1648"/>
      <c r="AB126" s="582"/>
      <c r="AC126" s="582"/>
      <c r="AD126" s="582"/>
      <c r="AE126" s="582"/>
      <c r="AF126" s="1657">
        <v>11</v>
      </c>
    </row>
    <row s="1657" customFormat="1" customHeight="1" ht="11.549999999999999">
      <c r="A127" s="1003"/>
      <c r="B127" s="1652"/>
      <c r="C127" s="1652"/>
      <c r="D127" s="367"/>
      <c r="K127" s="1176"/>
      <c r="L127" s="1652"/>
      <c r="M127" s="1652"/>
      <c r="N127" s="1176"/>
      <c r="O127" s="1176"/>
      <c r="P127" s="1176"/>
      <c r="Q127" s="1176"/>
      <c r="R127" s="1652"/>
      <c r="S127" s="1176"/>
      <c r="T127" s="1176"/>
      <c r="U127" s="560"/>
      <c r="V127" s="1176"/>
      <c r="W127" s="1176"/>
      <c r="X127" s="1176"/>
      <c r="Y127" s="1176"/>
      <c r="Z127" s="1176"/>
      <c r="AA127" s="1648"/>
      <c r="AB127" s="582"/>
      <c r="AC127" s="582"/>
      <c r="AD127" s="582"/>
      <c r="AE127" s="582"/>
      <c r="AF127" s="1657">
        <v>11</v>
      </c>
    </row>
    <row s="1657" customFormat="1" customHeight="1" ht="11.549999999999999">
      <c r="A128" s="1003"/>
      <c r="B128" s="1652"/>
      <c r="C128" s="1652"/>
      <c r="D128" s="367"/>
      <c r="K128" s="1176"/>
      <c r="L128" s="1652"/>
      <c r="M128" s="1652"/>
      <c r="N128" s="1176"/>
      <c r="O128" s="1176"/>
      <c r="P128" s="1176"/>
      <c r="Q128" s="1176"/>
      <c r="R128" s="1652"/>
      <c r="S128" s="1176"/>
      <c r="T128" s="1176"/>
      <c r="U128" s="560"/>
      <c r="V128" s="1176"/>
      <c r="W128" s="1176"/>
      <c r="X128" s="1176"/>
      <c r="Y128" s="1176"/>
      <c r="Z128" s="1176"/>
      <c r="AA128" s="1648"/>
      <c r="AB128" s="582"/>
      <c r="AC128" s="582"/>
      <c r="AD128" s="582"/>
      <c r="AE128" s="582"/>
      <c r="AF128" s="1657">
        <v>11</v>
      </c>
    </row>
    <row s="1657" customFormat="1" customHeight="1" ht="11.549999999999999">
      <c r="A129" s="1003"/>
      <c r="B129" s="1652"/>
      <c r="C129" s="1652"/>
      <c r="D129" s="367"/>
      <c r="K129" s="1176"/>
      <c r="L129" s="1652"/>
      <c r="M129" s="1652"/>
      <c r="N129" s="1176"/>
      <c r="O129" s="1176"/>
      <c r="P129" s="1176"/>
      <c r="Q129" s="1176"/>
      <c r="R129" s="1652"/>
      <c r="S129" s="1176"/>
      <c r="T129" s="1176"/>
      <c r="U129" s="560"/>
      <c r="V129" s="1176"/>
      <c r="W129" s="1176"/>
      <c r="X129" s="1176"/>
      <c r="Y129" s="1176"/>
      <c r="Z129" s="1176"/>
      <c r="AA129" s="1648"/>
      <c r="AB129" s="582"/>
      <c r="AC129" s="582"/>
      <c r="AD129" s="582"/>
      <c r="AE129" s="582"/>
      <c r="AF129" s="1657">
        <v>11</v>
      </c>
    </row>
    <row s="1657" customFormat="1" customHeight="1" ht="11.549999999999999">
      <c r="A130" s="1003"/>
      <c r="B130" s="1652"/>
      <c r="C130" s="1652"/>
      <c r="D130" s="367"/>
      <c r="K130" s="1176"/>
      <c r="L130" s="1652"/>
      <c r="M130" s="1652"/>
      <c r="N130" s="1176"/>
      <c r="O130" s="1176"/>
      <c r="P130" s="1176"/>
      <c r="Q130" s="1176"/>
      <c r="R130" s="1652"/>
      <c r="S130" s="1176"/>
      <c r="T130" s="1176"/>
      <c r="U130" s="560"/>
      <c r="V130" s="1176"/>
      <c r="W130" s="1176"/>
      <c r="X130" s="1176"/>
      <c r="Y130" s="1176"/>
      <c r="Z130" s="1176"/>
      <c r="AA130" s="1648"/>
      <c r="AB130" s="582"/>
      <c r="AC130" s="582"/>
      <c r="AD130" s="582"/>
      <c r="AE130" s="582"/>
      <c r="AF130" s="1657">
        <v>11</v>
      </c>
    </row>
    <row s="1657" customFormat="1" customHeight="1" ht="11.549999999999999">
      <c r="A131" s="1003"/>
      <c r="B131" s="1652"/>
      <c r="C131" s="1652"/>
      <c r="D131" s="367"/>
      <c r="K131" s="1176"/>
      <c r="L131" s="1652"/>
      <c r="M131" s="1652"/>
      <c r="N131" s="1176"/>
      <c r="O131" s="1176"/>
      <c r="P131" s="1176"/>
      <c r="Q131" s="1176"/>
      <c r="R131" s="1652"/>
      <c r="S131" s="1176"/>
      <c r="T131" s="1176"/>
      <c r="U131" s="560"/>
      <c r="V131" s="1176"/>
      <c r="W131" s="1176"/>
      <c r="X131" s="1176"/>
      <c r="Y131" s="1176"/>
      <c r="Z131" s="1176"/>
      <c r="AA131" s="1648"/>
      <c r="AB131" s="582"/>
      <c r="AC131" s="582"/>
      <c r="AD131" s="582"/>
      <c r="AE131" s="582"/>
      <c r="AF131" s="1657">
        <v>11</v>
      </c>
    </row>
    <row s="1657" customFormat="1" customHeight="1" ht="11.549999999999999">
      <c r="A132" s="1003"/>
      <c r="B132" s="1652"/>
      <c r="C132" s="1652"/>
      <c r="D132" s="367"/>
      <c r="K132" s="1176"/>
      <c r="L132" s="1652"/>
      <c r="M132" s="1652"/>
      <c r="N132" s="1176"/>
      <c r="O132" s="1176"/>
      <c r="P132" s="1176"/>
      <c r="Q132" s="1176"/>
      <c r="R132" s="1652"/>
      <c r="S132" s="1176"/>
      <c r="T132" s="1176"/>
      <c r="U132" s="560"/>
      <c r="V132" s="1176"/>
      <c r="W132" s="1176"/>
      <c r="X132" s="1176"/>
      <c r="Y132" s="1176"/>
      <c r="Z132" s="1176"/>
      <c r="AA132" s="1648"/>
      <c r="AB132" s="582"/>
      <c r="AC132" s="582"/>
      <c r="AD132" s="582"/>
      <c r="AE132" s="582"/>
      <c r="AF132" s="1657">
        <v>11</v>
      </c>
    </row>
    <row s="1657" customFormat="1" customHeight="1" ht="11.549999999999999">
      <c r="A133" s="1003"/>
      <c r="B133" s="1652"/>
      <c r="C133" s="1652"/>
      <c r="D133" s="367"/>
      <c r="K133" s="1176"/>
      <c r="L133" s="1652"/>
      <c r="M133" s="1652"/>
      <c r="N133" s="1176"/>
      <c r="O133" s="1176"/>
      <c r="P133" s="1176"/>
      <c r="Q133" s="1176"/>
      <c r="R133" s="1652"/>
      <c r="S133" s="1176"/>
      <c r="T133" s="1176"/>
      <c r="U133" s="560"/>
      <c r="V133" s="1176"/>
      <c r="W133" s="1176"/>
      <c r="X133" s="1176"/>
      <c r="Y133" s="1176"/>
      <c r="Z133" s="1176"/>
      <c r="AA133" s="1648"/>
      <c r="AB133" s="582"/>
      <c r="AC133" s="582"/>
      <c r="AD133" s="582"/>
      <c r="AE133" s="582"/>
      <c r="AF133" s="1657">
        <v>11</v>
      </c>
    </row>
    <row s="1657" customFormat="1" customHeight="1" ht="11.549999999999999">
      <c r="A134" s="1003"/>
      <c r="B134" s="1652"/>
      <c r="C134" s="1652"/>
      <c r="D134" s="367"/>
      <c r="K134" s="1176"/>
      <c r="L134" s="1652"/>
      <c r="M134" s="1652"/>
      <c r="N134" s="1176"/>
      <c r="O134" s="1176"/>
      <c r="P134" s="1176"/>
      <c r="Q134" s="1176"/>
      <c r="R134" s="1652"/>
      <c r="S134" s="1176"/>
      <c r="T134" s="1176"/>
      <c r="U134" s="560"/>
      <c r="V134" s="1176"/>
      <c r="W134" s="1176"/>
      <c r="X134" s="1176"/>
      <c r="Y134" s="1176"/>
      <c r="Z134" s="1176"/>
      <c r="AA134" s="1648"/>
      <c r="AB134" s="582"/>
      <c r="AC134" s="582"/>
      <c r="AD134" s="582"/>
      <c r="AE134" s="582"/>
      <c r="AF134" s="1657">
        <v>11</v>
      </c>
    </row>
    <row s="1657" customFormat="1" customHeight="1" ht="11.549999999999999">
      <c r="A135" s="1003"/>
      <c r="B135" s="1652"/>
      <c r="C135" s="1652"/>
      <c r="D135" s="367"/>
      <c r="K135" s="1176"/>
      <c r="L135" s="1652"/>
      <c r="M135" s="1652"/>
      <c r="N135" s="1176"/>
      <c r="O135" s="1176"/>
      <c r="P135" s="1176"/>
      <c r="Q135" s="1176"/>
      <c r="R135" s="1652"/>
      <c r="S135" s="1176"/>
      <c r="T135" s="1176"/>
      <c r="U135" s="560"/>
      <c r="V135" s="1176"/>
      <c r="W135" s="1176"/>
      <c r="X135" s="1176"/>
      <c r="Y135" s="1176"/>
      <c r="Z135" s="1176"/>
      <c r="AA135" s="1648"/>
      <c r="AB135" s="582"/>
      <c r="AC135" s="582"/>
      <c r="AD135" s="582"/>
      <c r="AE135" s="582"/>
      <c r="AF135" s="1657">
        <v>11</v>
      </c>
    </row>
    <row s="1657" customFormat="1" customHeight="1" ht="11.549999999999999">
      <c r="A136" s="1003"/>
      <c r="B136" s="1652"/>
      <c r="C136" s="1652"/>
      <c r="D136" s="367"/>
      <c r="K136" s="1176"/>
      <c r="L136" s="1652"/>
      <c r="M136" s="1652"/>
      <c r="N136" s="1176"/>
      <c r="O136" s="1176"/>
      <c r="P136" s="1176"/>
      <c r="Q136" s="1176"/>
      <c r="R136" s="1652"/>
      <c r="S136" s="1176"/>
      <c r="T136" s="1176"/>
      <c r="U136" s="560"/>
      <c r="V136" s="1176"/>
      <c r="W136" s="1176"/>
      <c r="X136" s="1176"/>
      <c r="Y136" s="1176"/>
      <c r="Z136" s="1176"/>
      <c r="AA136" s="1648"/>
      <c r="AB136" s="582"/>
      <c r="AC136" s="582"/>
      <c r="AD136" s="582"/>
      <c r="AE136" s="582"/>
      <c r="AF136" s="1657">
        <v>11</v>
      </c>
    </row>
    <row s="1657" customFormat="1" customHeight="1" ht="11.549999999999999">
      <c r="A137" s="1003"/>
      <c r="B137" s="1652"/>
      <c r="C137" s="1652"/>
      <c r="D137" s="367"/>
      <c r="K137" s="1176"/>
      <c r="L137" s="1652"/>
      <c r="M137" s="1652"/>
      <c r="N137" s="1176"/>
      <c r="O137" s="1176"/>
      <c r="P137" s="1176"/>
      <c r="Q137" s="1176"/>
      <c r="R137" s="1652"/>
      <c r="S137" s="1176"/>
      <c r="T137" s="1176"/>
      <c r="U137" s="560"/>
      <c r="V137" s="1176"/>
      <c r="W137" s="1176"/>
      <c r="X137" s="1176"/>
      <c r="Y137" s="1176"/>
      <c r="Z137" s="1176"/>
      <c r="AA137" s="1648"/>
      <c r="AB137" s="582"/>
      <c r="AC137" s="582"/>
      <c r="AD137" s="582"/>
      <c r="AE137" s="582"/>
      <c r="AF137" s="1657">
        <v>11</v>
      </c>
    </row>
    <row s="1657" customFormat="1" customHeight="1" ht="11.549999999999999">
      <c r="A138" s="1003"/>
      <c r="B138" s="1652"/>
      <c r="C138" s="1652"/>
      <c r="D138" s="367"/>
      <c r="K138" s="1176"/>
      <c r="L138" s="1652"/>
      <c r="M138" s="1652"/>
      <c r="N138" s="1176"/>
      <c r="O138" s="1176"/>
      <c r="P138" s="1176"/>
      <c r="Q138" s="1176"/>
      <c r="R138" s="1652"/>
      <c r="S138" s="1176"/>
      <c r="T138" s="1176"/>
      <c r="U138" s="560"/>
      <c r="V138" s="1176"/>
      <c r="W138" s="1176"/>
      <c r="X138" s="1176"/>
      <c r="Y138" s="1176"/>
      <c r="Z138" s="1176"/>
      <c r="AA138" s="1648"/>
      <c r="AB138" s="582"/>
      <c r="AC138" s="582"/>
      <c r="AD138" s="582"/>
      <c r="AE138" s="582"/>
      <c r="AF138" s="1657">
        <v>11</v>
      </c>
    </row>
    <row s="1657" customFormat="1" customHeight="1" ht="11.549999999999999">
      <c r="A139" s="1003"/>
      <c r="B139" s="1652"/>
      <c r="C139" s="1652"/>
      <c r="D139" s="367"/>
      <c r="K139" s="1176"/>
      <c r="L139" s="1652"/>
      <c r="M139" s="1652"/>
      <c r="N139" s="1176"/>
      <c r="O139" s="1176"/>
      <c r="P139" s="1176"/>
      <c r="Q139" s="1176"/>
      <c r="R139" s="1652"/>
      <c r="S139" s="1176"/>
      <c r="T139" s="1176"/>
      <c r="U139" s="560"/>
      <c r="V139" s="1176"/>
      <c r="W139" s="1176"/>
      <c r="X139" s="1176"/>
      <c r="Y139" s="1176"/>
      <c r="Z139" s="1176"/>
      <c r="AA139" s="1648"/>
      <c r="AB139" s="582"/>
      <c r="AC139" s="582"/>
      <c r="AD139" s="582"/>
      <c r="AE139" s="582"/>
      <c r="AF139" s="1657">
        <v>11</v>
      </c>
    </row>
    <row s="1657" customFormat="1" customHeight="1" ht="11.549999999999999">
      <c r="A140" s="1003"/>
      <c r="B140" s="1652"/>
      <c r="C140" s="1652"/>
      <c r="D140" s="367"/>
      <c r="K140" s="1176"/>
      <c r="L140" s="1652"/>
      <c r="M140" s="1652"/>
      <c r="N140" s="1176"/>
      <c r="O140" s="1176"/>
      <c r="P140" s="1176"/>
      <c r="Q140" s="1176"/>
      <c r="R140" s="1652"/>
      <c r="S140" s="1176"/>
      <c r="T140" s="1176"/>
      <c r="U140" s="560"/>
      <c r="V140" s="1176"/>
      <c r="W140" s="1176"/>
      <c r="X140" s="1176"/>
      <c r="Y140" s="1176"/>
      <c r="Z140" s="1176"/>
      <c r="AA140" s="1648"/>
      <c r="AB140" s="582"/>
      <c r="AC140" s="582"/>
      <c r="AD140" s="582"/>
      <c r="AE140" s="582"/>
      <c r="AF140" s="1657">
        <v>11</v>
      </c>
    </row>
    <row s="1657" customFormat="1" customHeight="1" ht="11.549999999999999">
      <c r="A141" s="1003"/>
      <c r="B141" s="1652"/>
      <c r="C141" s="1652"/>
      <c r="D141" s="367"/>
      <c r="K141" s="1176"/>
      <c r="L141" s="1652"/>
      <c r="M141" s="1652"/>
      <c r="N141" s="1176"/>
      <c r="O141" s="1176"/>
      <c r="P141" s="1176"/>
      <c r="Q141" s="1176"/>
      <c r="R141" s="1652"/>
      <c r="S141" s="1176"/>
      <c r="T141" s="1176"/>
      <c r="U141" s="560"/>
      <c r="V141" s="1176"/>
      <c r="W141" s="1176"/>
      <c r="X141" s="1176"/>
      <c r="Y141" s="1176"/>
      <c r="Z141" s="1176"/>
      <c r="AA141" s="1648"/>
      <c r="AB141" s="582"/>
      <c r="AC141" s="582"/>
      <c r="AD141" s="582"/>
      <c r="AE141" s="582"/>
      <c r="AF141" s="1657">
        <v>11</v>
      </c>
    </row>
    <row s="1657" customFormat="1" customHeight="1" ht="11.549999999999999">
      <c r="A142" s="1003"/>
      <c r="B142" s="1652"/>
      <c r="C142" s="1652"/>
      <c r="D142" s="367"/>
      <c r="K142" s="1176"/>
      <c r="L142" s="1652"/>
      <c r="M142" s="1652"/>
      <c r="N142" s="1176"/>
      <c r="O142" s="1176"/>
      <c r="P142" s="1176"/>
      <c r="Q142" s="1176"/>
      <c r="R142" s="1652"/>
      <c r="S142" s="1176"/>
      <c r="T142" s="1176"/>
      <c r="U142" s="560"/>
      <c r="V142" s="1176"/>
      <c r="W142" s="1176"/>
      <c r="X142" s="1176"/>
      <c r="Y142" s="1176"/>
      <c r="Z142" s="1176"/>
      <c r="AA142" s="1648"/>
      <c r="AB142" s="582"/>
      <c r="AC142" s="582"/>
      <c r="AD142" s="582"/>
      <c r="AE142" s="582"/>
      <c r="AF142" s="1657">
        <v>11</v>
      </c>
    </row>
    <row s="1657" customFormat="1" customHeight="1" ht="11.549999999999999">
      <c r="A143" s="1003"/>
      <c r="B143" s="1652"/>
      <c r="C143" s="1652"/>
      <c r="D143" s="367"/>
      <c r="K143" s="1176"/>
      <c r="L143" s="1652"/>
      <c r="M143" s="1652"/>
      <c r="N143" s="1176"/>
      <c r="O143" s="1176"/>
      <c r="P143" s="1176"/>
      <c r="Q143" s="1176"/>
      <c r="R143" s="1652"/>
      <c r="S143" s="1176"/>
      <c r="T143" s="1176"/>
      <c r="U143" s="560"/>
      <c r="V143" s="1176"/>
      <c r="W143" s="1176"/>
      <c r="X143" s="1176"/>
      <c r="Y143" s="1176"/>
      <c r="Z143" s="1176"/>
      <c r="AA143" s="1648"/>
      <c r="AB143" s="582"/>
      <c r="AC143" s="582"/>
      <c r="AD143" s="582"/>
      <c r="AE143" s="582"/>
      <c r="AF143" s="1657">
        <v>11</v>
      </c>
    </row>
    <row s="1657" customFormat="1" customHeight="1" ht="11.549999999999999">
      <c r="A144" s="1003"/>
      <c r="B144" s="1652"/>
      <c r="C144" s="1652"/>
      <c r="D144" s="367"/>
      <c r="K144" s="1176"/>
      <c r="L144" s="1652"/>
      <c r="M144" s="1652"/>
      <c r="N144" s="1176"/>
      <c r="O144" s="1176"/>
      <c r="P144" s="1176"/>
      <c r="Q144" s="1176"/>
      <c r="R144" s="1652"/>
      <c r="S144" s="1176"/>
      <c r="T144" s="1176"/>
      <c r="U144" s="560"/>
      <c r="V144" s="1176"/>
      <c r="W144" s="1176"/>
      <c r="X144" s="1176"/>
      <c r="Y144" s="1176"/>
      <c r="Z144" s="1176"/>
      <c r="AA144" s="1648"/>
      <c r="AB144" s="582"/>
      <c r="AC144" s="582"/>
      <c r="AD144" s="582"/>
      <c r="AE144" s="582"/>
      <c r="AF144" s="1657">
        <v>11</v>
      </c>
    </row>
    <row s="1657" customFormat="1" customHeight="1" ht="11.549999999999999">
      <c r="A145" s="1003"/>
      <c r="B145" s="1652"/>
      <c r="C145" s="1652"/>
      <c r="D145" s="367"/>
      <c r="K145" s="1176"/>
      <c r="L145" s="1652"/>
      <c r="M145" s="1652"/>
      <c r="N145" s="1176"/>
      <c r="O145" s="1176"/>
      <c r="P145" s="1176"/>
      <c r="Q145" s="1176"/>
      <c r="R145" s="1652"/>
      <c r="S145" s="1176"/>
      <c r="T145" s="1176"/>
      <c r="U145" s="560"/>
      <c r="V145" s="1176"/>
      <c r="W145" s="1176"/>
      <c r="X145" s="1176"/>
      <c r="Y145" s="1176"/>
      <c r="Z145" s="1176"/>
      <c r="AA145" s="1648"/>
      <c r="AB145" s="582"/>
      <c r="AC145" s="582"/>
      <c r="AD145" s="582"/>
      <c r="AE145" s="582"/>
      <c r="AF145" s="1657">
        <v>11</v>
      </c>
    </row>
    <row s="1657" customFormat="1" customHeight="1" ht="11.549999999999999">
      <c r="A146" s="1003"/>
      <c r="B146" s="1652"/>
      <c r="C146" s="1652"/>
      <c r="D146" s="367"/>
      <c r="K146" s="1176"/>
      <c r="L146" s="1652"/>
      <c r="M146" s="1652"/>
      <c r="N146" s="1176"/>
      <c r="O146" s="1176"/>
      <c r="P146" s="1176"/>
      <c r="Q146" s="1176"/>
      <c r="R146" s="1652"/>
      <c r="S146" s="1176"/>
      <c r="T146" s="1176"/>
      <c r="U146" s="560"/>
      <c r="V146" s="1176"/>
      <c r="W146" s="1176"/>
      <c r="X146" s="1176"/>
      <c r="Y146" s="1176"/>
      <c r="Z146" s="1176"/>
      <c r="AA146" s="1648"/>
      <c r="AB146" s="582"/>
      <c r="AC146" s="582"/>
      <c r="AD146" s="582"/>
      <c r="AE146" s="582"/>
      <c r="AF146" s="1657">
        <v>11</v>
      </c>
    </row>
    <row s="1657" customFormat="1" customHeight="1" ht="11.549999999999999">
      <c r="A147" s="1003"/>
      <c r="B147" s="1652"/>
      <c r="C147" s="1652"/>
      <c r="D147" s="367"/>
      <c r="K147" s="1176"/>
      <c r="L147" s="1652"/>
      <c r="M147" s="1652"/>
      <c r="N147" s="1176"/>
      <c r="O147" s="1176"/>
      <c r="P147" s="1176"/>
      <c r="Q147" s="1176"/>
      <c r="R147" s="1652"/>
      <c r="S147" s="1176"/>
      <c r="T147" s="1176"/>
      <c r="U147" s="560"/>
      <c r="V147" s="1176"/>
      <c r="W147" s="1176"/>
      <c r="X147" s="1176"/>
      <c r="Y147" s="1176"/>
      <c r="Z147" s="1176"/>
      <c r="AA147" s="1648"/>
      <c r="AB147" s="582"/>
      <c r="AC147" s="582"/>
      <c r="AD147" s="582"/>
      <c r="AE147" s="582"/>
      <c r="AF147" s="1657">
        <v>11</v>
      </c>
    </row>
    <row s="1657" customFormat="1" customHeight="1" ht="11.549999999999999">
      <c r="A148" s="1003"/>
      <c r="B148" s="1652"/>
      <c r="C148" s="1652"/>
      <c r="D148" s="367"/>
      <c r="K148" s="1176"/>
      <c r="L148" s="1652"/>
      <c r="M148" s="1652"/>
      <c r="N148" s="1176"/>
      <c r="O148" s="1176"/>
      <c r="P148" s="1176"/>
      <c r="Q148" s="1176"/>
      <c r="R148" s="1652"/>
      <c r="S148" s="1176"/>
      <c r="T148" s="1176"/>
      <c r="U148" s="560"/>
      <c r="V148" s="1176"/>
      <c r="W148" s="1176"/>
      <c r="X148" s="1176"/>
      <c r="Y148" s="1176"/>
      <c r="Z148" s="1176"/>
      <c r="AA148" s="1648"/>
      <c r="AB148" s="582"/>
      <c r="AC148" s="582"/>
      <c r="AD148" s="582"/>
      <c r="AE148" s="582"/>
      <c r="AF148" s="1657">
        <v>11</v>
      </c>
    </row>
    <row s="1657" customFormat="1" customHeight="1" ht="11.549999999999999">
      <c r="A149" s="1003"/>
      <c r="B149" s="1652"/>
      <c r="C149" s="1652"/>
      <c r="D149" s="367"/>
      <c r="K149" s="1176"/>
      <c r="L149" s="1652"/>
      <c r="M149" s="1652"/>
      <c r="N149" s="1176"/>
      <c r="O149" s="1176"/>
      <c r="P149" s="1176"/>
      <c r="Q149" s="1176"/>
      <c r="R149" s="1652"/>
      <c r="S149" s="1176"/>
      <c r="T149" s="1176"/>
      <c r="U149" s="560"/>
      <c r="V149" s="1176"/>
      <c r="W149" s="1176"/>
      <c r="X149" s="1176"/>
      <c r="Y149" s="1176"/>
      <c r="Z149" s="1176"/>
      <c r="AA149" s="1648"/>
      <c r="AB149" s="582"/>
      <c r="AC149" s="582"/>
      <c r="AD149" s="582"/>
      <c r="AE149" s="582"/>
      <c r="AF149" s="1657">
        <v>11</v>
      </c>
    </row>
    <row s="1657" customFormat="1" customHeight="1" ht="11.549999999999999">
      <c r="A150" s="1003"/>
      <c r="B150" s="1652"/>
      <c r="C150" s="1652"/>
      <c r="D150" s="367"/>
      <c r="K150" s="1176"/>
      <c r="L150" s="1652"/>
      <c r="M150" s="1652"/>
      <c r="N150" s="1176"/>
      <c r="O150" s="1176"/>
      <c r="P150" s="1176"/>
      <c r="Q150" s="1176"/>
      <c r="R150" s="1652"/>
      <c r="S150" s="1176"/>
      <c r="T150" s="1176"/>
      <c r="U150" s="560"/>
      <c r="V150" s="1176"/>
      <c r="W150" s="1176"/>
      <c r="X150" s="1176"/>
      <c r="Y150" s="1176"/>
      <c r="Z150" s="1176"/>
      <c r="AA150" s="1648"/>
      <c r="AB150" s="582"/>
      <c r="AC150" s="582"/>
      <c r="AD150" s="582"/>
      <c r="AE150" s="582"/>
      <c r="AF150" s="1657">
        <v>11</v>
      </c>
    </row>
    <row s="1657" customFormat="1" customHeight="1" ht="11.549999999999999">
      <c r="A151" s="1003"/>
      <c r="B151" s="1652"/>
      <c r="C151" s="1652"/>
      <c r="D151" s="367"/>
      <c r="K151" s="1176"/>
      <c r="L151" s="1652"/>
      <c r="M151" s="1652"/>
      <c r="N151" s="1176"/>
      <c r="O151" s="1176"/>
      <c r="P151" s="1176"/>
      <c r="Q151" s="1176"/>
      <c r="R151" s="1652"/>
      <c r="S151" s="1176"/>
      <c r="T151" s="1176"/>
      <c r="U151" s="560"/>
      <c r="V151" s="1176"/>
      <c r="W151" s="1176"/>
      <c r="X151" s="1176"/>
      <c r="Y151" s="1176"/>
      <c r="Z151" s="1176"/>
      <c r="AA151" s="1648"/>
      <c r="AB151" s="582"/>
      <c r="AC151" s="582"/>
      <c r="AD151" s="582"/>
      <c r="AE151" s="582"/>
      <c r="AF151" s="1657">
        <v>11</v>
      </c>
    </row>
    <row s="1657" customFormat="1" customHeight="1" ht="11.549999999999999">
      <c r="A152" s="1003"/>
      <c r="B152" s="1652"/>
      <c r="C152" s="1652"/>
      <c r="D152" s="367"/>
      <c r="K152" s="1176"/>
      <c r="L152" s="1652"/>
      <c r="M152" s="1652"/>
      <c r="N152" s="1176"/>
      <c r="O152" s="1176"/>
      <c r="P152" s="1176"/>
      <c r="Q152" s="1176"/>
      <c r="R152" s="1652"/>
      <c r="S152" s="1176"/>
      <c r="T152" s="1176"/>
      <c r="U152" s="560"/>
      <c r="V152" s="1176"/>
      <c r="W152" s="1176"/>
      <c r="X152" s="1176"/>
      <c r="Y152" s="1176"/>
      <c r="Z152" s="1176"/>
      <c r="AA152" s="1648"/>
      <c r="AB152" s="582"/>
      <c r="AC152" s="582"/>
      <c r="AD152" s="582"/>
      <c r="AE152" s="582"/>
      <c r="AF152" s="1657">
        <v>11</v>
      </c>
    </row>
    <row s="1657" customFormat="1" customHeight="1" ht="11.549999999999999">
      <c r="A153" s="1003"/>
      <c r="B153" s="1652"/>
      <c r="C153" s="1652"/>
      <c r="D153" s="367"/>
      <c r="K153" s="1176"/>
      <c r="L153" s="1652"/>
      <c r="M153" s="1652"/>
      <c r="N153" s="1176"/>
      <c r="O153" s="1176"/>
      <c r="P153" s="1176"/>
      <c r="Q153" s="1176"/>
      <c r="R153" s="1652"/>
      <c r="S153" s="1176"/>
      <c r="T153" s="1176"/>
      <c r="U153" s="560"/>
      <c r="V153" s="1176"/>
      <c r="W153" s="1176"/>
      <c r="X153" s="1176"/>
      <c r="Y153" s="1176"/>
      <c r="Z153" s="1176"/>
      <c r="AA153" s="1648"/>
      <c r="AB153" s="582"/>
      <c r="AC153" s="582"/>
      <c r="AD153" s="582"/>
      <c r="AE153" s="582"/>
      <c r="AF153" s="1657">
        <v>11</v>
      </c>
    </row>
    <row s="1657" customFormat="1" customHeight="1" ht="11.549999999999999">
      <c r="A154" s="1003"/>
      <c r="B154" s="1652"/>
      <c r="C154" s="1652"/>
      <c r="D154" s="367"/>
      <c r="K154" s="1176"/>
      <c r="L154" s="1652"/>
      <c r="M154" s="1652"/>
      <c r="N154" s="1176"/>
      <c r="O154" s="1176"/>
      <c r="P154" s="1176"/>
      <c r="Q154" s="1176"/>
      <c r="R154" s="1652"/>
      <c r="S154" s="1176"/>
      <c r="T154" s="1176"/>
      <c r="U154" s="560"/>
      <c r="V154" s="1176"/>
      <c r="W154" s="1176"/>
      <c r="X154" s="1176"/>
      <c r="Y154" s="1176"/>
      <c r="Z154" s="1176"/>
      <c r="AA154" s="1648"/>
      <c r="AB154" s="582"/>
      <c r="AC154" s="582"/>
      <c r="AD154" s="582"/>
      <c r="AE154" s="582"/>
      <c r="AF154" s="1657">
        <v>11</v>
      </c>
    </row>
    <row s="1657" customFormat="1" customHeight="1" ht="11.549999999999999">
      <c r="A155" s="1003"/>
      <c r="B155" s="1652"/>
      <c r="C155" s="1652"/>
      <c r="D155" s="367"/>
      <c r="K155" s="1176"/>
      <c r="L155" s="1652"/>
      <c r="M155" s="1652"/>
      <c r="N155" s="1176"/>
      <c r="O155" s="1176"/>
      <c r="P155" s="1176"/>
      <c r="Q155" s="1176"/>
      <c r="R155" s="1652"/>
      <c r="S155" s="1176"/>
      <c r="T155" s="1176"/>
      <c r="U155" s="560"/>
      <c r="V155" s="1176"/>
      <c r="W155" s="1176"/>
      <c r="X155" s="1176"/>
      <c r="Y155" s="1176"/>
      <c r="Z155" s="1176"/>
      <c r="AA155" s="1648"/>
      <c r="AB155" s="582"/>
      <c r="AC155" s="582"/>
      <c r="AD155" s="582"/>
      <c r="AE155" s="582"/>
      <c r="AF155" s="1657">
        <v>11</v>
      </c>
    </row>
    <row s="1657" customFormat="1" customHeight="1" ht="11.549999999999999">
      <c r="A156" s="1003"/>
      <c r="B156" s="1652"/>
      <c r="C156" s="1652"/>
      <c r="D156" s="367"/>
      <c r="K156" s="1176"/>
      <c r="L156" s="1652"/>
      <c r="M156" s="1652"/>
      <c r="N156" s="1176"/>
      <c r="O156" s="1176"/>
      <c r="P156" s="1176"/>
      <c r="Q156" s="1176"/>
      <c r="R156" s="1652"/>
      <c r="S156" s="1176"/>
      <c r="T156" s="1176"/>
      <c r="U156" s="560"/>
      <c r="V156" s="1176"/>
      <c r="W156" s="1176"/>
      <c r="X156" s="1176"/>
      <c r="Y156" s="1176"/>
      <c r="Z156" s="1176"/>
      <c r="AA156" s="1648"/>
      <c r="AB156" s="582"/>
      <c r="AC156" s="582"/>
      <c r="AD156" s="582"/>
      <c r="AE156" s="582"/>
      <c r="AF156" s="1657">
        <v>11</v>
      </c>
    </row>
    <row s="1657" customFormat="1" customHeight="1" ht="11.549999999999999">
      <c r="A157" s="1003"/>
      <c r="B157" s="1652"/>
      <c r="C157" s="1652"/>
      <c r="D157" s="367"/>
      <c r="K157" s="1176"/>
      <c r="L157" s="1652"/>
      <c r="M157" s="1652"/>
      <c r="N157" s="1176"/>
      <c r="O157" s="1176"/>
      <c r="P157" s="1176"/>
      <c r="Q157" s="1176"/>
      <c r="R157" s="1652"/>
      <c r="S157" s="1176"/>
      <c r="T157" s="1176"/>
      <c r="U157" s="560"/>
      <c r="V157" s="1176"/>
      <c r="W157" s="1176"/>
      <c r="X157" s="1176"/>
      <c r="Y157" s="1176"/>
      <c r="Z157" s="1176"/>
      <c r="AA157" s="1648"/>
      <c r="AB157" s="582"/>
      <c r="AC157" s="582"/>
      <c r="AD157" s="582"/>
      <c r="AE157" s="582"/>
      <c r="AF157" s="1657">
        <v>11</v>
      </c>
    </row>
    <row s="1657" customFormat="1" customHeight="1" ht="11.549999999999999">
      <c r="A158" s="1003"/>
      <c r="B158" s="1652"/>
      <c r="C158" s="1652"/>
      <c r="D158" s="367"/>
      <c r="K158" s="1176"/>
      <c r="L158" s="1652"/>
      <c r="M158" s="1652"/>
      <c r="N158" s="1176"/>
      <c r="O158" s="1176"/>
      <c r="P158" s="1176"/>
      <c r="Q158" s="1176"/>
      <c r="R158" s="1652"/>
      <c r="S158" s="1176"/>
      <c r="T158" s="1176"/>
      <c r="U158" s="560"/>
      <c r="V158" s="1176"/>
      <c r="W158" s="1176"/>
      <c r="X158" s="1176"/>
      <c r="Y158" s="1176"/>
      <c r="Z158" s="1176"/>
      <c r="AA158" s="1648"/>
      <c r="AB158" s="582"/>
      <c r="AC158" s="582"/>
      <c r="AD158" s="582"/>
      <c r="AE158" s="582"/>
      <c r="AF158" s="1657">
        <v>11</v>
      </c>
    </row>
    <row s="1657" customFormat="1" customHeight="1" ht="11.549999999999999">
      <c r="A159" s="1003"/>
      <c r="B159" s="1652"/>
      <c r="C159" s="1652"/>
      <c r="D159" s="367"/>
      <c r="K159" s="1176"/>
      <c r="L159" s="1652"/>
      <c r="M159" s="1652"/>
      <c r="N159" s="1176"/>
      <c r="O159" s="1176"/>
      <c r="P159" s="1176"/>
      <c r="Q159" s="1176"/>
      <c r="R159" s="1652"/>
      <c r="S159" s="1176"/>
      <c r="T159" s="1176"/>
      <c r="U159" s="560"/>
      <c r="V159" s="1176"/>
      <c r="W159" s="1176"/>
      <c r="X159" s="1176"/>
      <c r="Y159" s="1176"/>
      <c r="Z159" s="1176"/>
      <c r="AA159" s="1648"/>
      <c r="AB159" s="582"/>
      <c r="AC159" s="582"/>
      <c r="AD159" s="582"/>
      <c r="AE159" s="582"/>
      <c r="AF159" s="1657">
        <v>11</v>
      </c>
    </row>
    <row s="1657" customFormat="1" customHeight="1" ht="11.549999999999999">
      <c r="A160" s="1003"/>
      <c r="B160" s="1652"/>
      <c r="C160" s="1652"/>
      <c r="D160" s="367"/>
      <c r="K160" s="1176"/>
      <c r="L160" s="1652"/>
      <c r="M160" s="1652"/>
      <c r="N160" s="1176"/>
      <c r="O160" s="1176"/>
      <c r="P160" s="1176"/>
      <c r="Q160" s="1176"/>
      <c r="R160" s="1652"/>
      <c r="S160" s="1176"/>
      <c r="T160" s="1176"/>
      <c r="U160" s="560"/>
      <c r="V160" s="1176"/>
      <c r="W160" s="1176"/>
      <c r="X160" s="1176"/>
      <c r="Y160" s="1176"/>
      <c r="Z160" s="1176"/>
      <c r="AA160" s="1648"/>
      <c r="AB160" s="582"/>
      <c r="AC160" s="582"/>
      <c r="AD160" s="582"/>
      <c r="AE160" s="582"/>
      <c r="AF160" s="1657">
        <v>11</v>
      </c>
    </row>
    <row s="1657" customFormat="1" customHeight="1" ht="11.549999999999999">
      <c r="A161" s="1003"/>
      <c r="B161" s="1652"/>
      <c r="C161" s="1652"/>
      <c r="D161" s="367"/>
      <c r="K161" s="1176"/>
      <c r="L161" s="1652"/>
      <c r="M161" s="1652"/>
      <c r="N161" s="1176"/>
      <c r="O161" s="1176"/>
      <c r="P161" s="1176"/>
      <c r="Q161" s="1176"/>
      <c r="R161" s="1652"/>
      <c r="S161" s="1176"/>
      <c r="T161" s="1176"/>
      <c r="U161" s="560"/>
      <c r="V161" s="1176"/>
      <c r="W161" s="1176"/>
      <c r="X161" s="1176"/>
      <c r="Y161" s="1176"/>
      <c r="Z161" s="1176"/>
      <c r="AA161" s="1648"/>
      <c r="AB161" s="582"/>
      <c r="AC161" s="582"/>
      <c r="AD161" s="582"/>
      <c r="AE161" s="582"/>
      <c r="AF161" s="1657">
        <v>11</v>
      </c>
    </row>
    <row s="1657" customFormat="1" customHeight="1" ht="11.549999999999999">
      <c r="A162" s="1003"/>
      <c r="B162" s="1652"/>
      <c r="C162" s="1652"/>
      <c r="D162" s="367"/>
      <c r="K162" s="1176"/>
      <c r="L162" s="1652"/>
      <c r="M162" s="1652"/>
      <c r="N162" s="1176"/>
      <c r="O162" s="1176"/>
      <c r="P162" s="1176"/>
      <c r="Q162" s="1176"/>
      <c r="R162" s="1652"/>
      <c r="S162" s="1176"/>
      <c r="T162" s="1176"/>
      <c r="U162" s="560"/>
      <c r="V162" s="1176"/>
      <c r="W162" s="1176"/>
      <c r="X162" s="1176"/>
      <c r="Y162" s="1176"/>
      <c r="Z162" s="1176"/>
      <c r="AA162" s="1648"/>
      <c r="AB162" s="582"/>
      <c r="AC162" s="582"/>
      <c r="AD162" s="582"/>
      <c r="AE162" s="582"/>
      <c r="AF162" s="1657">
        <v>11</v>
      </c>
    </row>
    <row s="1657" customFormat="1" customHeight="1" ht="11.549999999999999">
      <c r="A163" s="1003"/>
      <c r="B163" s="1652"/>
      <c r="C163" s="1652"/>
      <c r="D163" s="367"/>
      <c r="K163" s="1176"/>
      <c r="L163" s="1652"/>
      <c r="M163" s="1652"/>
      <c r="N163" s="1176"/>
      <c r="O163" s="1176"/>
      <c r="P163" s="1176"/>
      <c r="Q163" s="1176"/>
      <c r="R163" s="1652"/>
      <c r="S163" s="1176"/>
      <c r="T163" s="1176"/>
      <c r="U163" s="560"/>
      <c r="V163" s="1176"/>
      <c r="W163" s="1176"/>
      <c r="X163" s="1176"/>
      <c r="Y163" s="1176"/>
      <c r="Z163" s="1176"/>
      <c r="AA163" s="1648"/>
      <c r="AB163" s="582"/>
      <c r="AC163" s="582"/>
      <c r="AD163" s="582"/>
      <c r="AE163" s="582"/>
      <c r="AF163" s="1657">
        <v>11</v>
      </c>
    </row>
    <row s="1657" customFormat="1" customHeight="1" ht="11.549999999999999">
      <c r="A164" s="1003"/>
      <c r="B164" s="1652"/>
      <c r="C164" s="1652"/>
      <c r="D164" s="367"/>
      <c r="K164" s="1176"/>
      <c r="L164" s="1652"/>
      <c r="M164" s="1652"/>
      <c r="N164" s="1176"/>
      <c r="O164" s="1176"/>
      <c r="P164" s="1176"/>
      <c r="Q164" s="1176"/>
      <c r="R164" s="1652"/>
      <c r="S164" s="1176"/>
      <c r="T164" s="1176"/>
      <c r="U164" s="560"/>
      <c r="V164" s="1176"/>
      <c r="W164" s="1176"/>
      <c r="X164" s="1176"/>
      <c r="Y164" s="1176"/>
      <c r="Z164" s="1176"/>
      <c r="AA164" s="1648"/>
      <c r="AB164" s="582"/>
      <c r="AC164" s="582"/>
      <c r="AD164" s="582"/>
      <c r="AE164" s="582"/>
      <c r="AF164" s="1657">
        <v>11</v>
      </c>
    </row>
    <row s="1657" customFormat="1" customHeight="1" ht="11.549999999999999">
      <c r="A165" s="1003"/>
      <c r="B165" s="1652"/>
      <c r="C165" s="1652"/>
      <c r="D165" s="367"/>
      <c r="K165" s="1176"/>
      <c r="L165" s="1652"/>
      <c r="M165" s="1652"/>
      <c r="N165" s="1176"/>
      <c r="O165" s="1176"/>
      <c r="P165" s="1176"/>
      <c r="Q165" s="1176"/>
      <c r="R165" s="1652"/>
      <c r="S165" s="1176"/>
      <c r="T165" s="1176"/>
      <c r="U165" s="560"/>
      <c r="V165" s="1176"/>
      <c r="W165" s="1176"/>
      <c r="X165" s="1176"/>
      <c r="Y165" s="1176"/>
      <c r="Z165" s="1176"/>
      <c r="AA165" s="1648"/>
      <c r="AB165" s="582"/>
      <c r="AC165" s="582"/>
      <c r="AD165" s="582"/>
      <c r="AE165" s="582"/>
      <c r="AF165" s="1657">
        <v>11</v>
      </c>
    </row>
    <row s="1657" customFormat="1" customHeight="1" ht="11.549999999999999">
      <c r="A166" s="1003"/>
      <c r="B166" s="1652"/>
      <c r="C166" s="1652"/>
      <c r="D166" s="367"/>
      <c r="K166" s="1176"/>
      <c r="L166" s="1652"/>
      <c r="M166" s="1652"/>
      <c r="N166" s="1176"/>
      <c r="O166" s="1176"/>
      <c r="P166" s="1176"/>
      <c r="Q166" s="1176"/>
      <c r="R166" s="1652"/>
      <c r="S166" s="1176"/>
      <c r="T166" s="1176"/>
      <c r="U166" s="560"/>
      <c r="V166" s="1176"/>
      <c r="W166" s="1176"/>
      <c r="X166" s="1176"/>
      <c r="Y166" s="1176"/>
      <c r="Z166" s="1176"/>
      <c r="AA166" s="1648"/>
      <c r="AB166" s="582"/>
      <c r="AC166" s="582"/>
      <c r="AD166" s="582"/>
      <c r="AE166" s="582"/>
      <c r="AF166" s="1657">
        <v>11</v>
      </c>
    </row>
    <row s="1657" customFormat="1" customHeight="1" ht="11.549999999999999">
      <c r="A167" s="1003"/>
      <c r="B167" s="1652"/>
      <c r="C167" s="1652"/>
      <c r="D167" s="367"/>
      <c r="K167" s="1176"/>
      <c r="L167" s="1652"/>
      <c r="M167" s="1652"/>
      <c r="N167" s="1176"/>
      <c r="O167" s="1176"/>
      <c r="P167" s="1176"/>
      <c r="Q167" s="1176"/>
      <c r="R167" s="1652"/>
      <c r="S167" s="1176"/>
      <c r="T167" s="1176"/>
      <c r="U167" s="560"/>
      <c r="V167" s="1176"/>
      <c r="W167" s="1176"/>
      <c r="X167" s="1176"/>
      <c r="Y167" s="1176"/>
      <c r="Z167" s="1176"/>
      <c r="AA167" s="1648"/>
      <c r="AB167" s="582"/>
      <c r="AC167" s="582"/>
      <c r="AD167" s="582"/>
      <c r="AE167" s="582"/>
      <c r="AF167" s="1657">
        <v>11</v>
      </c>
    </row>
    <row s="1657" customFormat="1" customHeight="1" ht="11.549999999999999">
      <c r="A168" s="1003"/>
      <c r="B168" s="1652"/>
      <c r="C168" s="1652"/>
      <c r="D168" s="367"/>
      <c r="K168" s="1176"/>
      <c r="L168" s="1652"/>
      <c r="M168" s="1652"/>
      <c r="N168" s="1176"/>
      <c r="O168" s="1176"/>
      <c r="P168" s="1176"/>
      <c r="Q168" s="1176"/>
      <c r="R168" s="1652"/>
      <c r="S168" s="1176"/>
      <c r="T168" s="1176"/>
      <c r="U168" s="560"/>
      <c r="V168" s="1176"/>
      <c r="W168" s="1176"/>
      <c r="X168" s="1176"/>
      <c r="Y168" s="1176"/>
      <c r="Z168" s="1176"/>
      <c r="AA168" s="1648"/>
      <c r="AB168" s="582"/>
      <c r="AC168" s="582"/>
      <c r="AD168" s="582"/>
      <c r="AE168" s="582"/>
      <c r="AF168" s="1657">
        <v>11</v>
      </c>
    </row>
    <row s="1657" customFormat="1" customHeight="1" ht="11.549999999999999">
      <c r="A169" s="1003"/>
      <c r="B169" s="1652"/>
      <c r="C169" s="1652"/>
      <c r="D169" s="367"/>
      <c r="K169" s="1176"/>
      <c r="L169" s="1652"/>
      <c r="M169" s="1652"/>
      <c r="N169" s="1176"/>
      <c r="O169" s="1176"/>
      <c r="P169" s="1176"/>
      <c r="Q169" s="1176"/>
      <c r="R169" s="1652"/>
      <c r="S169" s="1176"/>
      <c r="T169" s="1176"/>
      <c r="U169" s="560"/>
      <c r="V169" s="1176"/>
      <c r="W169" s="1176"/>
      <c r="X169" s="1176"/>
      <c r="Y169" s="1176"/>
      <c r="Z169" s="1176"/>
      <c r="AA169" s="1648"/>
      <c r="AB169" s="582"/>
      <c r="AC169" s="582"/>
      <c r="AD169" s="582"/>
      <c r="AE169" s="582"/>
      <c r="AF169" s="1657">
        <v>11</v>
      </c>
    </row>
    <row s="1657" customFormat="1" customHeight="1" ht="11.549999999999999">
      <c r="A170" s="1003"/>
      <c r="B170" s="1652"/>
      <c r="C170" s="1652"/>
      <c r="D170" s="367"/>
      <c r="K170" s="1176"/>
      <c r="L170" s="1652"/>
      <c r="M170" s="1652"/>
      <c r="N170" s="1176"/>
      <c r="O170" s="1176"/>
      <c r="P170" s="1176"/>
      <c r="Q170" s="1176"/>
      <c r="R170" s="1652"/>
      <c r="S170" s="1176"/>
      <c r="T170" s="1176"/>
      <c r="U170" s="560"/>
      <c r="V170" s="1176"/>
      <c r="W170" s="1176"/>
      <c r="X170" s="1176"/>
      <c r="Y170" s="1176"/>
      <c r="Z170" s="1176"/>
      <c r="AA170" s="1648"/>
      <c r="AB170" s="582"/>
      <c r="AC170" s="582"/>
      <c r="AD170" s="582"/>
      <c r="AE170" s="582"/>
      <c r="AF170" s="1657">
        <v>11</v>
      </c>
    </row>
    <row s="1657" customFormat="1" customHeight="1" ht="11.549999999999999">
      <c r="A171" s="1003"/>
      <c r="B171" s="1652"/>
      <c r="C171" s="1652"/>
      <c r="D171" s="367"/>
      <c r="K171" s="1176"/>
      <c r="L171" s="1652"/>
      <c r="M171" s="1652"/>
      <c r="N171" s="1176"/>
      <c r="O171" s="1176"/>
      <c r="P171" s="1176"/>
      <c r="Q171" s="1176"/>
      <c r="R171" s="1652"/>
      <c r="S171" s="1176"/>
      <c r="T171" s="1176"/>
      <c r="U171" s="560"/>
      <c r="V171" s="1176"/>
      <c r="W171" s="1176"/>
      <c r="X171" s="1176"/>
      <c r="Y171" s="1176"/>
      <c r="Z171" s="1176"/>
      <c r="AA171" s="1648"/>
      <c r="AB171" s="582"/>
      <c r="AC171" s="582"/>
      <c r="AD171" s="582"/>
      <c r="AE171" s="582"/>
      <c r="AF171" s="1657">
        <v>11</v>
      </c>
    </row>
    <row s="1657" customFormat="1" customHeight="1" ht="11.549999999999999">
      <c r="A172" s="1003"/>
      <c r="B172" s="1652"/>
      <c r="C172" s="1652"/>
      <c r="D172" s="367"/>
      <c r="K172" s="1176"/>
      <c r="L172" s="1652"/>
      <c r="M172" s="1652"/>
      <c r="N172" s="1176"/>
      <c r="O172" s="1176"/>
      <c r="P172" s="1176"/>
      <c r="Q172" s="1176"/>
      <c r="R172" s="1652"/>
      <c r="S172" s="1176"/>
      <c r="T172" s="1176"/>
      <c r="U172" s="560"/>
      <c r="V172" s="1176"/>
      <c r="W172" s="1176"/>
      <c r="X172" s="1176"/>
      <c r="Y172" s="1176"/>
      <c r="Z172" s="1176"/>
      <c r="AA172" s="1648"/>
      <c r="AB172" s="582"/>
      <c r="AC172" s="582"/>
      <c r="AD172" s="582"/>
      <c r="AE172" s="582"/>
      <c r="AF172" s="1657">
        <v>11</v>
      </c>
    </row>
    <row s="1657" customFormat="1" customHeight="1" ht="11.549999999999999">
      <c r="A173" s="1003"/>
      <c r="B173" s="1652"/>
      <c r="C173" s="1652"/>
      <c r="D173" s="367"/>
      <c r="K173" s="1176"/>
      <c r="L173" s="1652"/>
      <c r="M173" s="1652"/>
      <c r="N173" s="1176"/>
      <c r="O173" s="1176"/>
      <c r="P173" s="1176"/>
      <c r="Q173" s="1176"/>
      <c r="R173" s="1652"/>
      <c r="S173" s="1176"/>
      <c r="T173" s="1176"/>
      <c r="U173" s="560"/>
      <c r="V173" s="1176"/>
      <c r="W173" s="1176"/>
      <c r="X173" s="1176"/>
      <c r="Y173" s="1176"/>
      <c r="Z173" s="1176"/>
      <c r="AA173" s="1648"/>
      <c r="AB173" s="582"/>
      <c r="AC173" s="582"/>
      <c r="AD173" s="582"/>
      <c r="AE173" s="582"/>
      <c r="AF173" s="1657">
        <v>11</v>
      </c>
    </row>
    <row s="1657" customFormat="1" customHeight="1" ht="11.549999999999999">
      <c r="A174" s="1003"/>
      <c r="B174" s="1652"/>
      <c r="C174" s="1652"/>
      <c r="D174" s="367"/>
      <c r="K174" s="1176"/>
      <c r="L174" s="1652"/>
      <c r="M174" s="1652"/>
      <c r="N174" s="1176"/>
      <c r="O174" s="1176"/>
      <c r="P174" s="1176"/>
      <c r="Q174" s="1176"/>
      <c r="R174" s="1652"/>
      <c r="S174" s="1176"/>
      <c r="T174" s="1176"/>
      <c r="U174" s="560"/>
      <c r="V174" s="1176"/>
      <c r="W174" s="1176"/>
      <c r="X174" s="1176"/>
      <c r="Y174" s="1176"/>
      <c r="Z174" s="1176"/>
      <c r="AA174" s="1648"/>
      <c r="AB174" s="582"/>
      <c r="AC174" s="582"/>
      <c r="AD174" s="582"/>
      <c r="AE174" s="582"/>
      <c r="AF174" s="1657">
        <v>11</v>
      </c>
    </row>
    <row s="1657" customFormat="1" customHeight="1" ht="11.549999999999999">
      <c r="A175" s="1003"/>
      <c r="B175" s="1652"/>
      <c r="C175" s="1652"/>
      <c r="D175" s="367"/>
      <c r="K175" s="1176"/>
      <c r="L175" s="1652"/>
      <c r="M175" s="1652"/>
      <c r="N175" s="1176"/>
      <c r="O175" s="1176"/>
      <c r="P175" s="1176"/>
      <c r="Q175" s="1176"/>
      <c r="R175" s="1652"/>
      <c r="S175" s="1176"/>
      <c r="T175" s="1176"/>
      <c r="U175" s="560"/>
      <c r="V175" s="1176"/>
      <c r="W175" s="1176"/>
      <c r="X175" s="1176"/>
      <c r="Y175" s="1176"/>
      <c r="Z175" s="1176"/>
      <c r="AA175" s="1648"/>
      <c r="AB175" s="582"/>
      <c r="AC175" s="582"/>
      <c r="AD175" s="582"/>
      <c r="AE175" s="582"/>
      <c r="AF175" s="1657">
        <v>11</v>
      </c>
    </row>
    <row s="1657" customFormat="1" customHeight="1" ht="11.549999999999999">
      <c r="A176" s="1003"/>
      <c r="B176" s="1652"/>
      <c r="C176" s="1652"/>
      <c r="D176" s="367"/>
      <c r="K176" s="1176"/>
      <c r="L176" s="1652"/>
      <c r="M176" s="1652"/>
      <c r="N176" s="1176"/>
      <c r="O176" s="1176"/>
      <c r="P176" s="1176"/>
      <c r="Q176" s="1176"/>
      <c r="R176" s="1652"/>
      <c r="S176" s="1176"/>
      <c r="T176" s="1176"/>
      <c r="U176" s="560"/>
      <c r="V176" s="1176"/>
      <c r="W176" s="1176"/>
      <c r="X176" s="1176"/>
      <c r="Y176" s="1176"/>
      <c r="Z176" s="1176"/>
      <c r="AA176" s="1648"/>
      <c r="AB176" s="582"/>
      <c r="AC176" s="582"/>
      <c r="AD176" s="582"/>
      <c r="AE176" s="582"/>
      <c r="AF176" s="1657">
        <v>11</v>
      </c>
    </row>
    <row s="1657" customFormat="1" customHeight="1" ht="11.549999999999999">
      <c r="A177" s="1003"/>
      <c r="B177" s="1652"/>
      <c r="C177" s="1652"/>
      <c r="D177" s="367"/>
      <c r="K177" s="1176"/>
      <c r="L177" s="1652"/>
      <c r="M177" s="1652"/>
      <c r="N177" s="1176"/>
      <c r="O177" s="1176"/>
      <c r="P177" s="1176"/>
      <c r="Q177" s="1176"/>
      <c r="R177" s="1652"/>
      <c r="S177" s="1176"/>
      <c r="T177" s="1176"/>
      <c r="U177" s="560"/>
      <c r="V177" s="1176"/>
      <c r="W177" s="1176"/>
      <c r="X177" s="1176"/>
      <c r="Y177" s="1176"/>
      <c r="Z177" s="1176"/>
      <c r="AA177" s="1648"/>
      <c r="AB177" s="582"/>
      <c r="AC177" s="582"/>
      <c r="AD177" s="582"/>
      <c r="AE177" s="582"/>
      <c r="AF177" s="1657">
        <v>11</v>
      </c>
    </row>
    <row s="1657" customFormat="1" customHeight="1" ht="11.549999999999999">
      <c r="A178" s="1003"/>
      <c r="B178" s="1652"/>
      <c r="C178" s="1652"/>
      <c r="D178" s="367"/>
      <c r="K178" s="1176"/>
      <c r="L178" s="1652"/>
      <c r="M178" s="1652"/>
      <c r="N178" s="1176"/>
      <c r="O178" s="1176"/>
      <c r="P178" s="1176"/>
      <c r="Q178" s="1176"/>
      <c r="R178" s="1652"/>
      <c r="S178" s="1176"/>
      <c r="T178" s="1176"/>
      <c r="U178" s="560"/>
      <c r="V178" s="1176"/>
      <c r="W178" s="1176"/>
      <c r="X178" s="1176"/>
      <c r="Y178" s="1176"/>
      <c r="Z178" s="1176"/>
      <c r="AA178" s="1648"/>
      <c r="AB178" s="582"/>
      <c r="AC178" s="582"/>
      <c r="AD178" s="582"/>
      <c r="AE178" s="582"/>
      <c r="AF178" s="1657">
        <v>11</v>
      </c>
    </row>
    <row s="1657" customFormat="1" customHeight="1" ht="11.549999999999999">
      <c r="A179" s="1003"/>
      <c r="B179" s="1652"/>
      <c r="C179" s="1652"/>
      <c r="D179" s="367"/>
      <c r="K179" s="1176"/>
      <c r="L179" s="1652"/>
      <c r="M179" s="1652"/>
      <c r="N179" s="1176"/>
      <c r="O179" s="1176"/>
      <c r="P179" s="1176"/>
      <c r="Q179" s="1176"/>
      <c r="R179" s="1652"/>
      <c r="S179" s="1176"/>
      <c r="T179" s="1176"/>
      <c r="U179" s="560"/>
      <c r="V179" s="1176"/>
      <c r="W179" s="1176"/>
      <c r="X179" s="1176"/>
      <c r="Y179" s="1176"/>
      <c r="Z179" s="1176"/>
      <c r="AA179" s="1648"/>
      <c r="AB179" s="582"/>
      <c r="AC179" s="582"/>
      <c r="AD179" s="582"/>
      <c r="AE179" s="582"/>
      <c r="AF179" s="1657">
        <v>11</v>
      </c>
    </row>
    <row s="1657" customFormat="1" customHeight="1" ht="11.549999999999999">
      <c r="A180" s="1003"/>
      <c r="B180" s="1652"/>
      <c r="C180" s="1652"/>
      <c r="D180" s="367"/>
      <c r="K180" s="1176"/>
      <c r="L180" s="1652"/>
      <c r="M180" s="1652"/>
      <c r="N180" s="1176"/>
      <c r="O180" s="1176"/>
      <c r="P180" s="1176"/>
      <c r="Q180" s="1176"/>
      <c r="R180" s="1652"/>
      <c r="S180" s="1176"/>
      <c r="T180" s="1176"/>
      <c r="U180" s="560"/>
      <c r="V180" s="1176"/>
      <c r="W180" s="1176"/>
      <c r="X180" s="1176"/>
      <c r="Y180" s="1176"/>
      <c r="Z180" s="1176"/>
      <c r="AA180" s="1648"/>
      <c r="AB180" s="582"/>
      <c r="AC180" s="582"/>
      <c r="AD180" s="582"/>
      <c r="AE180" s="582"/>
      <c r="AF180" s="1657">
        <v>11</v>
      </c>
    </row>
    <row s="1657" customFormat="1" customHeight="1" ht="11.549999999999999">
      <c r="A181" s="1003"/>
      <c r="B181" s="1652"/>
      <c r="C181" s="1652"/>
      <c r="D181" s="367"/>
      <c r="K181" s="1176"/>
      <c r="L181" s="1652"/>
      <c r="M181" s="1652"/>
      <c r="N181" s="1176"/>
      <c r="O181" s="1176"/>
      <c r="P181" s="1176"/>
      <c r="Q181" s="1176"/>
      <c r="R181" s="1652"/>
      <c r="S181" s="1176"/>
      <c r="T181" s="1176"/>
      <c r="U181" s="560"/>
      <c r="V181" s="1176"/>
      <c r="W181" s="1176"/>
      <c r="X181" s="1176"/>
      <c r="Y181" s="1176"/>
      <c r="Z181" s="1176"/>
      <c r="AA181" s="1648"/>
      <c r="AB181" s="582"/>
      <c r="AC181" s="582"/>
      <c r="AD181" s="582"/>
      <c r="AE181" s="582"/>
      <c r="AF181" s="1657">
        <v>11</v>
      </c>
    </row>
    <row s="1657" customFormat="1" customHeight="1" ht="11.549999999999999">
      <c r="A182" s="1003"/>
      <c r="B182" s="1652"/>
      <c r="C182" s="1652"/>
      <c r="D182" s="367"/>
      <c r="K182" s="1176"/>
      <c r="L182" s="1652"/>
      <c r="M182" s="1652"/>
      <c r="N182" s="1176"/>
      <c r="O182" s="1176"/>
      <c r="P182" s="1176"/>
      <c r="Q182" s="1176"/>
      <c r="R182" s="1652"/>
      <c r="S182" s="1176"/>
      <c r="T182" s="1176"/>
      <c r="U182" s="560"/>
      <c r="V182" s="1176"/>
      <c r="W182" s="1176"/>
      <c r="X182" s="1176"/>
      <c r="Y182" s="1176"/>
      <c r="Z182" s="1176"/>
      <c r="AA182" s="1648"/>
      <c r="AB182" s="582"/>
      <c r="AC182" s="582"/>
      <c r="AD182" s="582"/>
      <c r="AE182" s="582"/>
      <c r="AF182" s="1657">
        <v>11</v>
      </c>
    </row>
    <row s="1657" customFormat="1" customHeight="1" ht="11.549999999999999">
      <c r="A183" s="1003"/>
      <c r="B183" s="1652"/>
      <c r="C183" s="1652"/>
      <c r="D183" s="367"/>
      <c r="K183" s="1176"/>
      <c r="L183" s="1652"/>
      <c r="M183" s="1652"/>
      <c r="N183" s="1176"/>
      <c r="O183" s="1176"/>
      <c r="P183" s="1176"/>
      <c r="Q183" s="1176"/>
      <c r="R183" s="1652"/>
      <c r="S183" s="1176"/>
      <c r="T183" s="1176"/>
      <c r="U183" s="560"/>
      <c r="V183" s="1176"/>
      <c r="W183" s="1176"/>
      <c r="X183" s="1176"/>
      <c r="Y183" s="1176"/>
      <c r="Z183" s="1176"/>
      <c r="AA183" s="1648"/>
      <c r="AB183" s="582"/>
      <c r="AC183" s="582"/>
      <c r="AD183" s="582"/>
      <c r="AE183" s="582"/>
      <c r="AF183" s="1657">
        <v>11</v>
      </c>
    </row>
    <row s="1657" customFormat="1" customHeight="1" ht="11.549999999999999">
      <c r="A184" s="1003"/>
      <c r="B184" s="1652"/>
      <c r="C184" s="1652"/>
      <c r="D184" s="367"/>
      <c r="K184" s="1176"/>
      <c r="L184" s="1652"/>
      <c r="M184" s="1652"/>
      <c r="N184" s="1176"/>
      <c r="O184" s="1176"/>
      <c r="P184" s="1176"/>
      <c r="Q184" s="1176"/>
      <c r="R184" s="1652"/>
      <c r="S184" s="1176"/>
      <c r="T184" s="1176"/>
      <c r="U184" s="560"/>
      <c r="V184" s="1176"/>
      <c r="W184" s="1176"/>
      <c r="X184" s="1176"/>
      <c r="Y184" s="1176"/>
      <c r="Z184" s="1176"/>
      <c r="AA184" s="1648"/>
      <c r="AB184" s="582"/>
      <c r="AC184" s="582"/>
      <c r="AD184" s="582"/>
      <c r="AE184" s="582"/>
      <c r="AF184" s="1657">
        <v>11</v>
      </c>
    </row>
    <row s="1657" customFormat="1" customHeight="1" ht="11.549999999999999">
      <c r="A185" s="1003"/>
      <c r="B185" s="1652"/>
      <c r="C185" s="1652"/>
      <c r="D185" s="367"/>
      <c r="K185" s="1176"/>
      <c r="L185" s="1652"/>
      <c r="M185" s="1652"/>
      <c r="N185" s="1176"/>
      <c r="O185" s="1176"/>
      <c r="P185" s="1176"/>
      <c r="Q185" s="1176"/>
      <c r="R185" s="1652"/>
      <c r="S185" s="1176"/>
      <c r="T185" s="1176"/>
      <c r="U185" s="560"/>
      <c r="V185" s="1176"/>
      <c r="W185" s="1176"/>
      <c r="X185" s="1176"/>
      <c r="Y185" s="1176"/>
      <c r="Z185" s="1176"/>
      <c r="AA185" s="1648"/>
      <c r="AB185" s="582"/>
      <c r="AC185" s="582"/>
      <c r="AD185" s="582"/>
      <c r="AE185" s="582"/>
      <c r="AF185" s="1657">
        <v>11</v>
      </c>
    </row>
    <row s="1657" customFormat="1" customHeight="1" ht="11.549999999999999">
      <c r="A186" s="1003"/>
      <c r="B186" s="1652"/>
      <c r="C186" s="1652"/>
      <c r="D186" s="367"/>
      <c r="K186" s="1176"/>
      <c r="L186" s="1652"/>
      <c r="M186" s="1652"/>
      <c r="N186" s="1176"/>
      <c r="O186" s="1176"/>
      <c r="P186" s="1176"/>
      <c r="Q186" s="1176"/>
      <c r="R186" s="1652"/>
      <c r="S186" s="1176"/>
      <c r="T186" s="1176"/>
      <c r="U186" s="560"/>
      <c r="V186" s="1176"/>
      <c r="W186" s="1176"/>
      <c r="X186" s="1176"/>
      <c r="Y186" s="1176"/>
      <c r="Z186" s="1176"/>
      <c r="AA186" s="1648"/>
      <c r="AB186" s="582"/>
      <c r="AC186" s="582"/>
      <c r="AD186" s="582"/>
      <c r="AE186" s="582"/>
      <c r="AF186" s="1657">
        <v>11</v>
      </c>
    </row>
    <row s="1657" customFormat="1" customHeight="1" ht="11.549999999999999">
      <c r="A187" s="1003"/>
      <c r="B187" s="1652"/>
      <c r="C187" s="1652"/>
      <c r="D187" s="367"/>
      <c r="K187" s="1176"/>
      <c r="L187" s="1652"/>
      <c r="M187" s="1652"/>
      <c r="N187" s="1176"/>
      <c r="O187" s="1176"/>
      <c r="P187" s="1176"/>
      <c r="Q187" s="1176"/>
      <c r="R187" s="1652"/>
      <c r="S187" s="1176"/>
      <c r="T187" s="1176"/>
      <c r="U187" s="560"/>
      <c r="V187" s="1176"/>
      <c r="W187" s="1176"/>
      <c r="X187" s="1176"/>
      <c r="Y187" s="1176"/>
      <c r="Z187" s="1176"/>
      <c r="AA187" s="1648"/>
      <c r="AB187" s="582"/>
      <c r="AC187" s="582"/>
      <c r="AD187" s="582"/>
      <c r="AE187" s="582"/>
      <c r="AF187" s="1657">
        <v>11</v>
      </c>
    </row>
    <row s="1657" customFormat="1" customHeight="1" ht="11.549999999999999">
      <c r="A188" s="1003"/>
      <c r="B188" s="1652"/>
      <c r="C188" s="1652"/>
      <c r="D188" s="367"/>
      <c r="K188" s="1176"/>
      <c r="L188" s="1652"/>
      <c r="M188" s="1652"/>
      <c r="N188" s="1176"/>
      <c r="O188" s="1176"/>
      <c r="P188" s="1176"/>
      <c r="Q188" s="1176"/>
      <c r="R188" s="1652"/>
      <c r="S188" s="1176"/>
      <c r="T188" s="1176"/>
      <c r="U188" s="560"/>
      <c r="V188" s="1176"/>
      <c r="W188" s="1176"/>
      <c r="X188" s="1176"/>
      <c r="Y188" s="1176"/>
      <c r="Z188" s="1176"/>
      <c r="AA188" s="1648"/>
      <c r="AB188" s="582"/>
      <c r="AC188" s="582"/>
      <c r="AD188" s="582"/>
      <c r="AE188" s="582"/>
      <c r="AF188" s="1657">
        <v>11</v>
      </c>
    </row>
    <row s="1657" customFormat="1" customHeight="1" ht="11.549999999999999">
      <c r="A189" s="1003"/>
      <c r="B189" s="1652"/>
      <c r="C189" s="1652"/>
      <c r="D189" s="367"/>
      <c r="K189" s="1176"/>
      <c r="L189" s="1652"/>
      <c r="M189" s="1652"/>
      <c r="N189" s="1176"/>
      <c r="O189" s="1176"/>
      <c r="P189" s="1176"/>
      <c r="Q189" s="1176"/>
      <c r="R189" s="1652"/>
      <c r="S189" s="1176"/>
      <c r="T189" s="1176"/>
      <c r="U189" s="560"/>
      <c r="V189" s="1176"/>
      <c r="W189" s="1176"/>
      <c r="X189" s="1176"/>
      <c r="Y189" s="1176"/>
      <c r="Z189" s="1176"/>
      <c r="AA189" s="1648"/>
      <c r="AB189" s="582"/>
      <c r="AC189" s="582"/>
      <c r="AD189" s="582"/>
      <c r="AE189" s="582"/>
      <c r="AF189" s="1657">
        <v>11</v>
      </c>
    </row>
    <row s="1657" customFormat="1" customHeight="1" ht="11.549999999999999">
      <c r="A190" s="1003"/>
      <c r="B190" s="1652"/>
      <c r="C190" s="1652"/>
      <c r="D190" s="367"/>
      <c r="K190" s="1176"/>
      <c r="L190" s="1652"/>
      <c r="M190" s="1652"/>
      <c r="N190" s="1176"/>
      <c r="O190" s="1176"/>
      <c r="P190" s="1176"/>
      <c r="Q190" s="1176"/>
      <c r="R190" s="1652"/>
      <c r="S190" s="1176"/>
      <c r="T190" s="1176"/>
      <c r="U190" s="560"/>
      <c r="V190" s="1176"/>
      <c r="W190" s="1176"/>
      <c r="X190" s="1176"/>
      <c r="Y190" s="1176"/>
      <c r="Z190" s="1176"/>
      <c r="AA190" s="1648"/>
      <c r="AB190" s="582"/>
      <c r="AC190" s="582"/>
      <c r="AD190" s="582"/>
      <c r="AE190" s="582"/>
      <c r="AF190" s="1657">
        <v>11</v>
      </c>
    </row>
    <row s="1657" customFormat="1" customHeight="1" ht="11.549999999999999">
      <c r="A191" s="1003"/>
      <c r="B191" s="1652"/>
      <c r="C191" s="1652"/>
      <c r="D191" s="367"/>
      <c r="K191" s="1176"/>
      <c r="L191" s="1652"/>
      <c r="M191" s="1652"/>
      <c r="N191" s="1176"/>
      <c r="O191" s="1176"/>
      <c r="P191" s="1176"/>
      <c r="Q191" s="1176"/>
      <c r="R191" s="1652"/>
      <c r="S191" s="1176"/>
      <c r="T191" s="1176"/>
      <c r="U191" s="560"/>
      <c r="V191" s="1176"/>
      <c r="W191" s="1176"/>
      <c r="X191" s="1176"/>
      <c r="Y191" s="1176"/>
      <c r="Z191" s="1176"/>
      <c r="AA191" s="1648"/>
      <c r="AB191" s="582"/>
      <c r="AC191" s="582"/>
      <c r="AD191" s="582"/>
      <c r="AE191" s="582"/>
      <c r="AF191" s="1657">
        <v>11</v>
      </c>
    </row>
    <row s="1657" customFormat="1" customHeight="1" ht="11.549999999999999">
      <c r="A192" s="1003"/>
      <c r="B192" s="1652"/>
      <c r="C192" s="1652"/>
      <c r="D192" s="367"/>
      <c r="K192" s="1176"/>
      <c r="L192" s="1652"/>
      <c r="M192" s="1652"/>
      <c r="N192" s="1176"/>
      <c r="O192" s="1176"/>
      <c r="P192" s="1176"/>
      <c r="Q192" s="1176"/>
      <c r="R192" s="1652"/>
      <c r="S192" s="1176"/>
      <c r="T192" s="1176"/>
      <c r="U192" s="560"/>
      <c r="V192" s="1176"/>
      <c r="W192" s="1176"/>
      <c r="X192" s="1176"/>
      <c r="Y192" s="1176"/>
      <c r="Z192" s="1176"/>
      <c r="AA192" s="1648"/>
      <c r="AB192" s="582"/>
      <c r="AC192" s="582"/>
      <c r="AD192" s="582"/>
      <c r="AE192" s="582"/>
      <c r="AF192" s="1657">
        <v>11</v>
      </c>
    </row>
    <row s="1657" customFormat="1" customHeight="1" ht="11.549999999999999">
      <c r="A193" s="1003"/>
      <c r="B193" s="1652"/>
      <c r="C193" s="1652"/>
      <c r="D193" s="367"/>
      <c r="K193" s="1176"/>
      <c r="L193" s="1652"/>
      <c r="M193" s="1652"/>
      <c r="N193" s="1176"/>
      <c r="O193" s="1176"/>
      <c r="P193" s="1176"/>
      <c r="Q193" s="1176"/>
      <c r="R193" s="1652"/>
      <c r="S193" s="1176"/>
      <c r="T193" s="1176"/>
      <c r="U193" s="560"/>
      <c r="V193" s="1176"/>
      <c r="W193" s="1176"/>
      <c r="X193" s="1176"/>
      <c r="Y193" s="1176"/>
      <c r="Z193" s="1176"/>
      <c r="AA193" s="1648"/>
      <c r="AB193" s="582"/>
      <c r="AC193" s="582"/>
      <c r="AD193" s="582"/>
      <c r="AE193" s="582"/>
      <c r="AF193" s="1657">
        <v>11</v>
      </c>
    </row>
    <row s="1657" customFormat="1" customHeight="1" ht="11.549999999999999">
      <c r="A194" s="1003"/>
      <c r="B194" s="1652"/>
      <c r="C194" s="1652"/>
      <c r="D194" s="367"/>
      <c r="K194" s="1176"/>
      <c r="L194" s="1652"/>
      <c r="M194" s="1652"/>
      <c r="N194" s="1176"/>
      <c r="O194" s="1176"/>
      <c r="P194" s="1176"/>
      <c r="Q194" s="1176"/>
      <c r="R194" s="1652"/>
      <c r="S194" s="1176"/>
      <c r="T194" s="1176"/>
      <c r="U194" s="560"/>
      <c r="V194" s="1176"/>
      <c r="W194" s="1176"/>
      <c r="X194" s="1176"/>
      <c r="Y194" s="1176"/>
      <c r="Z194" s="1176"/>
      <c r="AA194" s="1648"/>
      <c r="AB194" s="582"/>
      <c r="AC194" s="582"/>
      <c r="AD194" s="582"/>
      <c r="AE194" s="582"/>
      <c r="AF194" s="1657">
        <v>11</v>
      </c>
    </row>
    <row s="1657" customFormat="1" customHeight="1" ht="11.549999999999999">
      <c r="A195" s="1003"/>
      <c r="B195" s="1652"/>
      <c r="C195" s="1652"/>
      <c r="D195" s="367"/>
      <c r="K195" s="1176"/>
      <c r="L195" s="1652"/>
      <c r="M195" s="1652"/>
      <c r="N195" s="1176"/>
      <c r="O195" s="1176"/>
      <c r="P195" s="1176"/>
      <c r="Q195" s="1176"/>
      <c r="R195" s="1652"/>
      <c r="S195" s="1176"/>
      <c r="T195" s="1176"/>
      <c r="U195" s="560"/>
      <c r="V195" s="1176"/>
      <c r="W195" s="1176"/>
      <c r="X195" s="1176"/>
      <c r="Y195" s="1176"/>
      <c r="Z195" s="1176"/>
      <c r="AA195" s="1648"/>
      <c r="AB195" s="582"/>
      <c r="AC195" s="582"/>
      <c r="AD195" s="582"/>
      <c r="AE195" s="582"/>
      <c r="AF195" s="1657">
        <v>11</v>
      </c>
    </row>
    <row s="1657" customFormat="1" customHeight="1" ht="11.549999999999999">
      <c r="A196" s="1003"/>
      <c r="B196" s="1652"/>
      <c r="C196" s="1652"/>
      <c r="D196" s="367"/>
      <c r="K196" s="1176"/>
      <c r="L196" s="1652"/>
      <c r="M196" s="1652"/>
      <c r="N196" s="1176"/>
      <c r="O196" s="1176"/>
      <c r="P196" s="1176"/>
      <c r="Q196" s="1176"/>
      <c r="R196" s="1652"/>
      <c r="S196" s="1176"/>
      <c r="T196" s="1176"/>
      <c r="U196" s="560"/>
      <c r="V196" s="1176"/>
      <c r="W196" s="1176"/>
      <c r="X196" s="1176"/>
      <c r="Y196" s="1176"/>
      <c r="Z196" s="1176"/>
      <c r="AA196" s="1648"/>
      <c r="AB196" s="582"/>
      <c r="AC196" s="582"/>
      <c r="AD196" s="582"/>
      <c r="AE196" s="582"/>
      <c r="AF196" s="1657">
        <v>11</v>
      </c>
    </row>
    <row s="1657" customFormat="1" customHeight="1" ht="11.549999999999999">
      <c r="A197" s="1003"/>
      <c r="B197" s="1652"/>
      <c r="C197" s="1652"/>
      <c r="D197" s="367"/>
      <c r="K197" s="1176"/>
      <c r="L197" s="1652"/>
      <c r="M197" s="1652"/>
      <c r="N197" s="1176"/>
      <c r="O197" s="1176"/>
      <c r="P197" s="1176"/>
      <c r="Q197" s="1176"/>
      <c r="R197" s="1652"/>
      <c r="S197" s="1176"/>
      <c r="T197" s="1176"/>
      <c r="U197" s="560"/>
      <c r="V197" s="1176"/>
      <c r="W197" s="1176"/>
      <c r="X197" s="1176"/>
      <c r="Y197" s="1176"/>
      <c r="Z197" s="1176"/>
      <c r="AA197" s="1648"/>
      <c r="AB197" s="582"/>
      <c r="AC197" s="582"/>
      <c r="AD197" s="582"/>
      <c r="AE197" s="582"/>
      <c r="AF197" s="1657">
        <v>11</v>
      </c>
    </row>
    <row s="1657" customFormat="1" customHeight="1" ht="11.549999999999999">
      <c r="A198" s="1003"/>
      <c r="B198" s="1652"/>
      <c r="C198" s="1652"/>
      <c r="D198" s="367"/>
      <c r="K198" s="1176"/>
      <c r="L198" s="1652"/>
      <c r="M198" s="1652"/>
      <c r="N198" s="1176"/>
      <c r="O198" s="1176"/>
      <c r="P198" s="1176"/>
      <c r="Q198" s="1176"/>
      <c r="R198" s="1652"/>
      <c r="S198" s="1176"/>
      <c r="T198" s="1176"/>
      <c r="U198" s="560"/>
      <c r="V198" s="1176"/>
      <c r="W198" s="1176"/>
      <c r="X198" s="1176"/>
      <c r="Y198" s="1176"/>
      <c r="Z198" s="1176"/>
      <c r="AA198" s="1648"/>
      <c r="AB198" s="582"/>
      <c r="AC198" s="582"/>
      <c r="AD198" s="582"/>
      <c r="AE198" s="582"/>
      <c r="AF198" s="1657">
        <v>11</v>
      </c>
    </row>
    <row s="1657" customFormat="1" customHeight="1" ht="11.549999999999999">
      <c r="A199" s="1003"/>
      <c r="B199" s="1652"/>
      <c r="C199" s="1652"/>
      <c r="D199" s="367"/>
      <c r="K199" s="1176"/>
      <c r="L199" s="1652"/>
      <c r="M199" s="1652"/>
      <c r="N199" s="1176"/>
      <c r="O199" s="1176"/>
      <c r="P199" s="1176"/>
      <c r="Q199" s="1176"/>
      <c r="R199" s="1652"/>
      <c r="S199" s="1176"/>
      <c r="T199" s="1176"/>
      <c r="U199" s="560"/>
      <c r="V199" s="1176"/>
      <c r="W199" s="1176"/>
      <c r="X199" s="1176"/>
      <c r="Y199" s="1176"/>
      <c r="Z199" s="1176"/>
      <c r="AA199" s="1648"/>
      <c r="AB199" s="582"/>
      <c r="AC199" s="582"/>
      <c r="AD199" s="582"/>
      <c r="AE199" s="582"/>
      <c r="AF199" s="1657">
        <v>11</v>
      </c>
    </row>
    <row s="1657" customFormat="1" customHeight="1" ht="11.549999999999999">
      <c r="A200" s="1003"/>
      <c r="B200" s="1652"/>
      <c r="C200" s="1652"/>
      <c r="D200" s="367"/>
      <c r="K200" s="1176"/>
      <c r="L200" s="1652"/>
      <c r="M200" s="1652"/>
      <c r="N200" s="1176"/>
      <c r="O200" s="1176"/>
      <c r="P200" s="1176"/>
      <c r="Q200" s="1176"/>
      <c r="R200" s="1652"/>
      <c r="S200" s="1176"/>
      <c r="T200" s="1176"/>
      <c r="U200" s="560"/>
      <c r="V200" s="1176"/>
      <c r="W200" s="1176"/>
      <c r="X200" s="1176"/>
      <c r="Y200" s="1176"/>
      <c r="Z200" s="1176"/>
      <c r="AA200" s="1648"/>
      <c r="AB200" s="582"/>
      <c r="AC200" s="582"/>
      <c r="AD200" s="582"/>
      <c r="AE200" s="582"/>
      <c r="AF200" s="1657">
        <v>11</v>
      </c>
    </row>
    <row s="1657" customFormat="1" customHeight="1" ht="11.549999999999999">
      <c r="A201" s="1003"/>
      <c r="B201" s="1652"/>
      <c r="C201" s="1652"/>
      <c r="D201" s="367"/>
      <c r="K201" s="1176"/>
      <c r="L201" s="1652"/>
      <c r="M201" s="1652"/>
      <c r="N201" s="1176"/>
      <c r="O201" s="1176"/>
      <c r="P201" s="1176"/>
      <c r="Q201" s="1176"/>
      <c r="R201" s="1652"/>
      <c r="S201" s="1176"/>
      <c r="T201" s="1176"/>
      <c r="U201" s="560"/>
      <c r="V201" s="1176"/>
      <c r="W201" s="1176"/>
      <c r="X201" s="1176"/>
      <c r="Y201" s="1176"/>
      <c r="Z201" s="1176"/>
      <c r="AA201" s="1648"/>
      <c r="AB201" s="582"/>
      <c r="AC201" s="582"/>
      <c r="AD201" s="582"/>
      <c r="AE201" s="582"/>
      <c r="AF201" s="1657">
        <v>11</v>
      </c>
    </row>
    <row s="1657" customFormat="1" customHeight="1" ht="11.549999999999999">
      <c r="A202" s="1003"/>
      <c r="B202" s="1652"/>
      <c r="C202" s="1652"/>
      <c r="D202" s="367"/>
      <c r="K202" s="1176"/>
      <c r="L202" s="1652"/>
      <c r="M202" s="1652"/>
      <c r="N202" s="1176"/>
      <c r="O202" s="1176"/>
      <c r="P202" s="1176"/>
      <c r="Q202" s="1176"/>
      <c r="R202" s="1652"/>
      <c r="S202" s="1176"/>
      <c r="T202" s="1176"/>
      <c r="U202" s="560"/>
      <c r="V202" s="1176"/>
      <c r="W202" s="1176"/>
      <c r="X202" s="1176"/>
      <c r="Y202" s="1176"/>
      <c r="Z202" s="1176"/>
      <c r="AA202" s="1648"/>
      <c r="AB202" s="582"/>
      <c r="AC202" s="582"/>
      <c r="AD202" s="582"/>
      <c r="AE202" s="582"/>
      <c r="AF202" s="1657">
        <v>11</v>
      </c>
    </row>
    <row customHeight="1" ht="11.549999999999999">
      <c r="AF203" s="1647">
        <v>11</v>
      </c>
    </row>
    <row customHeight="1" ht="11.549999999999999">
      <c r="AF204" s="1647">
        <v>11</v>
      </c>
    </row>
    <row customHeight="1" ht="11.549999999999999">
      <c r="AF205" s="1647">
        <v>11</v>
      </c>
    </row>
    <row customHeight="1" ht="11.549999999999999">
      <c r="A206" s="1006"/>
      <c r="B206" s="1647"/>
      <c r="D206" s="1647"/>
      <c r="K206" s="1647"/>
      <c r="N206" s="1647"/>
      <c r="O206" s="1647"/>
      <c r="P206" s="1647"/>
      <c r="Q206" s="1647"/>
      <c r="S206" s="1647"/>
      <c r="T206" s="1647"/>
      <c r="U206" s="1647"/>
      <c r="V206" s="1647"/>
      <c r="W206" s="1647"/>
      <c r="X206" s="1647"/>
      <c r="Y206" s="1647"/>
      <c r="Z206" s="1647"/>
      <c r="AA206" s="1647"/>
      <c r="AB206" s="1647"/>
      <c r="AC206" s="1647"/>
      <c r="AD206" s="1647"/>
      <c r="AE206" s="1647"/>
      <c r="AF206" s="1647">
        <v>11</v>
      </c>
    </row>
    <row customHeight="1" ht="11.549999999999999">
      <c r="A207" s="1006"/>
      <c r="B207" s="1647"/>
      <c r="D207" s="1647"/>
      <c r="K207" s="1647"/>
      <c r="N207" s="1647"/>
      <c r="O207" s="1647"/>
      <c r="P207" s="1647"/>
      <c r="Q207" s="1647"/>
      <c r="S207" s="1647"/>
      <c r="T207" s="1647"/>
      <c r="U207" s="1647"/>
      <c r="V207" s="1647"/>
      <c r="W207" s="1647"/>
      <c r="X207" s="1647"/>
      <c r="Y207" s="1647"/>
      <c r="Z207" s="1647"/>
      <c r="AA207" s="1647"/>
      <c r="AB207" s="1647"/>
      <c r="AC207" s="1647"/>
      <c r="AD207" s="1647"/>
      <c r="AE207" s="1647"/>
      <c r="AF207" s="1647">
        <v>11</v>
      </c>
    </row>
    <row customHeight="1" ht="11.549999999999999">
      <c r="A208" s="1006"/>
      <c r="B208" s="1647"/>
      <c r="D208" s="1647"/>
      <c r="K208" s="1647"/>
      <c r="N208" s="1647"/>
      <c r="O208" s="1647"/>
      <c r="P208" s="1647"/>
      <c r="Q208" s="1647"/>
      <c r="S208" s="1647"/>
      <c r="T208" s="1647"/>
      <c r="U208" s="1647"/>
      <c r="V208" s="1647"/>
      <c r="W208" s="1647"/>
      <c r="X208" s="1647"/>
      <c r="Y208" s="1647"/>
      <c r="Z208" s="1647"/>
      <c r="AA208" s="1647"/>
      <c r="AB208" s="1647"/>
      <c r="AC208" s="1647"/>
      <c r="AD208" s="1647"/>
      <c r="AE208" s="1647"/>
      <c r="AF208" s="1647">
        <v>11</v>
      </c>
    </row>
    <row customHeight="1" ht="11.549999999999999">
      <c r="A209" s="1006"/>
      <c r="B209" s="1647"/>
      <c r="D209" s="1647"/>
      <c r="K209" s="1647"/>
      <c r="N209" s="1647"/>
      <c r="O209" s="1647"/>
      <c r="P209" s="1647"/>
      <c r="Q209" s="1647"/>
      <c r="S209" s="1647"/>
      <c r="T209" s="1647"/>
      <c r="U209" s="1647"/>
      <c r="V209" s="1647"/>
      <c r="W209" s="1647"/>
      <c r="X209" s="1647"/>
      <c r="Y209" s="1647"/>
      <c r="Z209" s="1647"/>
      <c r="AA209" s="1647"/>
      <c r="AB209" s="1647"/>
      <c r="AC209" s="1647"/>
      <c r="AD209" s="1647"/>
      <c r="AE209" s="1647"/>
      <c r="AF209" s="1647">
        <v>11</v>
      </c>
    </row>
    <row customHeight="1" ht="11.549999999999999">
      <c r="A210" s="1006"/>
      <c r="B210" s="1647"/>
      <c r="D210" s="1647"/>
      <c r="K210" s="1647"/>
      <c r="N210" s="1647"/>
      <c r="O210" s="1647"/>
      <c r="P210" s="1647"/>
      <c r="Q210" s="1647"/>
      <c r="S210" s="1647"/>
      <c r="T210" s="1647"/>
      <c r="U210" s="1647"/>
      <c r="V210" s="1647"/>
      <c r="W210" s="1647"/>
      <c r="X210" s="1647"/>
      <c r="Y210" s="1647"/>
      <c r="Z210" s="1647"/>
      <c r="AA210" s="1647"/>
      <c r="AB210" s="1647"/>
      <c r="AC210" s="1647"/>
      <c r="AD210" s="1647"/>
      <c r="AE210" s="1647"/>
      <c r="AF210" s="1647">
        <v>11</v>
      </c>
    </row>
    <row customHeight="1" ht="11.549999999999999">
      <c r="A211" s="1006"/>
      <c r="B211" s="1647"/>
      <c r="D211" s="1647"/>
      <c r="K211" s="1647"/>
      <c r="N211" s="1647"/>
      <c r="O211" s="1647"/>
      <c r="P211" s="1647"/>
      <c r="Q211" s="1647"/>
      <c r="S211" s="1647"/>
      <c r="T211" s="1647"/>
      <c r="U211" s="1647"/>
      <c r="V211" s="1647"/>
      <c r="W211" s="1647"/>
      <c r="X211" s="1647"/>
      <c r="Y211" s="1647"/>
      <c r="Z211" s="1647"/>
      <c r="AA211" s="1647"/>
      <c r="AB211" s="1647"/>
      <c r="AC211" s="1647"/>
      <c r="AD211" s="1647"/>
      <c r="AE211" s="1647"/>
      <c r="AF211" s="1647">
        <v>11</v>
      </c>
    </row>
    <row customHeight="1" ht="11.549999999999999">
      <c r="A212" s="1006"/>
      <c r="B212" s="1647"/>
      <c r="D212" s="1647"/>
      <c r="K212" s="1647"/>
      <c r="N212" s="1647"/>
      <c r="O212" s="1647"/>
      <c r="P212" s="1647"/>
      <c r="Q212" s="1647"/>
      <c r="S212" s="1647"/>
      <c r="T212" s="1647"/>
      <c r="U212" s="1647"/>
      <c r="V212" s="1647"/>
      <c r="W212" s="1647"/>
      <c r="X212" s="1647"/>
      <c r="Y212" s="1647"/>
      <c r="Z212" s="1647"/>
      <c r="AA212" s="1647"/>
      <c r="AB212" s="1647"/>
      <c r="AC212" s="1647"/>
      <c r="AD212" s="1647"/>
      <c r="AE212" s="1647"/>
      <c r="AF212" s="1647">
        <v>11</v>
      </c>
    </row>
    <row customHeight="1" ht="11.549999999999999">
      <c r="A213" s="1006"/>
      <c r="B213" s="1647"/>
      <c r="D213" s="1647"/>
      <c r="K213" s="1647"/>
      <c r="N213" s="1647"/>
      <c r="O213" s="1647"/>
      <c r="P213" s="1647"/>
      <c r="Q213" s="1647"/>
      <c r="S213" s="1647"/>
      <c r="T213" s="1647"/>
      <c r="U213" s="1647"/>
      <c r="V213" s="1647"/>
      <c r="W213" s="1647"/>
      <c r="X213" s="1647"/>
      <c r="Y213" s="1647"/>
      <c r="Z213" s="1647"/>
      <c r="AA213" s="1647"/>
      <c r="AB213" s="1647"/>
      <c r="AC213" s="1647"/>
      <c r="AD213" s="1647"/>
      <c r="AE213" s="1647"/>
      <c r="AF213" s="1647">
        <v>11</v>
      </c>
    </row>
    <row customHeight="1" ht="11.549999999999999">
      <c r="A214" s="1006"/>
      <c r="B214" s="1647"/>
      <c r="D214" s="1647"/>
      <c r="K214" s="1647"/>
      <c r="N214" s="1647"/>
      <c r="O214" s="1647"/>
      <c r="P214" s="1647"/>
      <c r="Q214" s="1647"/>
      <c r="S214" s="1647"/>
      <c r="T214" s="1647"/>
      <c r="U214" s="1647"/>
      <c r="V214" s="1647"/>
      <c r="W214" s="1647"/>
      <c r="X214" s="1647"/>
      <c r="Y214" s="1647"/>
      <c r="Z214" s="1647"/>
      <c r="AA214" s="1647"/>
      <c r="AB214" s="1647"/>
      <c r="AC214" s="1647"/>
      <c r="AD214" s="1647"/>
      <c r="AE214" s="1647"/>
      <c r="AF214" s="1647">
        <v>11</v>
      </c>
    </row>
    <row customHeight="1" ht="11.549999999999999">
      <c r="A215" s="1006"/>
      <c r="B215" s="1647"/>
      <c r="D215" s="1647"/>
      <c r="K215" s="1647"/>
      <c r="N215" s="1647"/>
      <c r="O215" s="1647"/>
      <c r="P215" s="1647"/>
      <c r="Q215" s="1647"/>
      <c r="S215" s="1647"/>
      <c r="T215" s="1647"/>
      <c r="U215" s="1647"/>
      <c r="V215" s="1647"/>
      <c r="W215" s="1647"/>
      <c r="X215" s="1647"/>
      <c r="Y215" s="1647"/>
      <c r="Z215" s="1647"/>
      <c r="AA215" s="1647"/>
      <c r="AB215" s="1647"/>
      <c r="AC215" s="1647"/>
      <c r="AD215" s="1647"/>
      <c r="AE215" s="1647"/>
      <c r="AF215" s="1647">
        <v>11</v>
      </c>
    </row>
    <row customHeight="1" ht="11.549999999999999">
      <c r="A216" s="1006"/>
      <c r="B216" s="1647"/>
      <c r="D216" s="1647"/>
      <c r="K216" s="1647"/>
      <c r="N216" s="1647"/>
      <c r="O216" s="1647"/>
      <c r="P216" s="1647"/>
      <c r="Q216" s="1647"/>
      <c r="S216" s="1647"/>
      <c r="T216" s="1647"/>
      <c r="U216" s="1647"/>
      <c r="V216" s="1647"/>
      <c r="W216" s="1647"/>
      <c r="X216" s="1647"/>
      <c r="Y216" s="1647"/>
      <c r="Z216" s="1647"/>
      <c r="AA216" s="1647"/>
      <c r="AB216" s="1647"/>
      <c r="AC216" s="1647"/>
      <c r="AD216" s="1647"/>
      <c r="AE216" s="1647"/>
      <c r="AF216" s="1647">
        <v>11</v>
      </c>
    </row>
    <row customHeight="1" ht="11.25" hidden="1">
      <c r="A217" s="1003" t="s">
        <v>85</v>
      </c>
      <c r="B217" s="1176">
        <v>0</v>
      </c>
      <c r="C217" s="1652">
        <v>0</v>
      </c>
      <c r="D217" s="1651">
        <v>3</v>
      </c>
      <c r="E217" s="1647">
        <v>7</v>
      </c>
      <c r="F217" s="1647">
        <v>56</v>
      </c>
      <c r="G217" s="1647">
        <v>10</v>
      </c>
      <c r="H217" s="1647">
        <v>0</v>
      </c>
      <c r="I217" s="1647">
        <v>40</v>
      </c>
      <c r="J217" s="1647">
        <v>102</v>
      </c>
      <c r="K217" s="1176">
        <v>9</v>
      </c>
      <c r="L217" s="1652">
        <v>5</v>
      </c>
      <c r="M217" s="1652">
        <v>3</v>
      </c>
      <c r="N217" s="1176">
        <v>3</v>
      </c>
      <c r="O217" s="1176">
        <v>3</v>
      </c>
      <c r="P217" s="1176">
        <v>3</v>
      </c>
      <c r="Q217" s="1176">
        <v>3</v>
      </c>
      <c r="R217" s="1652">
        <v>10</v>
      </c>
      <c r="S217" s="1176">
        <v>34</v>
      </c>
      <c r="T217" s="1176">
        <v>9</v>
      </c>
      <c r="U217" s="560">
        <v>8</v>
      </c>
      <c r="V217" s="1176">
        <v>8</v>
      </c>
      <c r="W217" s="1176">
        <v>8</v>
      </c>
      <c r="X217" s="1176">
        <v>8</v>
      </c>
      <c r="Y217" s="1176">
        <v>8</v>
      </c>
      <c r="Z217" s="1176">
        <v>8</v>
      </c>
      <c r="AA217" s="1648">
        <v>8</v>
      </c>
      <c r="AB217" s="1648">
        <v>8</v>
      </c>
      <c r="AC217" s="1648">
        <v>8</v>
      </c>
      <c r="AD217" s="1648">
        <v>8</v>
      </c>
      <c r="AE217" s="1648">
        <v>8</v>
      </c>
      <c r="AF217" s="164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1DAA-52F3-BFAC-FA64-F6099D8E0B5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03" width="10.7109375" hidden="1" customWidth="1"/>
    <col min="2" max="2" style="1382" width="16.8515625" hidden="1" customWidth="1"/>
    <col min="3" max="3" style="1658" width="5.57421875" hidden="1" customWidth="1"/>
    <col min="4" max="4" style="1651" width="3.00390625" customWidth="1"/>
    <col min="5" max="5" style="1651" width="7.00390625" customWidth="1"/>
    <col min="6" max="6" style="1651" width="54.00390625" customWidth="1"/>
    <col min="7" max="7" style="1651" width="10.00390625" customWidth="1"/>
    <col min="8" max="8" style="1651" width="40.7109375" hidden="1" customWidth="1"/>
    <col min="9" max="9" style="1651" width="40.00390625" customWidth="1"/>
    <col min="10" max="10" style="1651" width="102.00390625" customWidth="1"/>
    <col min="11" max="11" style="1382" width="9.00390625" customWidth="1"/>
    <col min="12" max="12" style="1658" width="5.00390625" customWidth="1"/>
    <col min="13" max="13" style="1658" width="3.00390625" customWidth="1"/>
    <col min="14" max="17" style="1382" width="3.00390625" customWidth="1"/>
    <col min="18" max="18" style="1658" width="10.00390625" customWidth="1"/>
    <col min="19" max="19" style="1382" width="34.00390625" customWidth="1"/>
    <col min="20" max="20" style="1382" width="9.00390625" customWidth="1"/>
    <col min="21" max="21" style="752" width="8.00390625" customWidth="1"/>
    <col min="22" max="26" style="1382" width="8.00390625" customWidth="1"/>
    <col min="27" max="31" style="1648" width="8.00390625" customWidth="1"/>
    <col min="32" max="32" style="1651" width="9.140625" hidden="1"/>
  </cols>
  <sheetData>
    <row s="1382" customFormat="1" customHeight="1" ht="22.5" hidden="1">
      <c r="A1" s="1003"/>
      <c r="C1" s="1652"/>
      <c r="D1" s="553"/>
      <c r="H1" s="1176">
        <v>4</v>
      </c>
      <c r="I1" s="1176">
        <v>4</v>
      </c>
      <c r="L1" s="1652"/>
      <c r="M1" s="1652"/>
      <c r="R1" s="1652"/>
      <c r="AF1" s="1176" t="s">
        <v>14</v>
      </c>
    </row>
    <row s="1382" customFormat="1" customHeight="1" ht="22.5" hidden="1">
      <c r="A2" s="1003"/>
      <c r="C2" s="1652"/>
      <c r="D2" s="554"/>
      <c r="E2" s="1674"/>
      <c r="F2" s="556"/>
      <c r="G2" s="1673" t="s">
        <v>705</v>
      </c>
      <c r="H2" s="557"/>
      <c r="I2" s="557"/>
      <c r="J2" s="558" t="s">
        <v>708</v>
      </c>
      <c r="K2" s="559"/>
      <c r="L2" s="1652"/>
      <c r="M2" s="1652"/>
      <c r="R2" s="1652"/>
      <c r="U2" s="560"/>
      <c r="AA2" s="1648"/>
      <c r="AB2" s="1648"/>
      <c r="AC2" s="1648"/>
      <c r="AD2" s="1648"/>
      <c r="AE2" s="1648"/>
      <c r="AF2" s="1176">
        <v>0</v>
      </c>
    </row>
    <row customHeight="1" ht="11.25" hidden="1">
      <c r="AF3" s="1647">
        <v>0</v>
      </c>
    </row>
    <row s="1648" customFormat="1" customHeight="1" ht="11.25" hidden="1">
      <c r="A4" s="1003"/>
      <c r="B4" s="1176"/>
      <c r="C4" s="1652"/>
      <c r="D4" s="378"/>
      <c r="J4" s="1648">
        <v>4</v>
      </c>
      <c r="K4" s="1176"/>
      <c r="L4" s="1652"/>
      <c r="M4" s="1652"/>
      <c r="N4" s="1176"/>
      <c r="O4" s="1176"/>
      <c r="P4" s="1176"/>
      <c r="Q4" s="1176"/>
      <c r="R4" s="1652"/>
      <c r="S4" s="1176"/>
      <c r="T4" s="1176"/>
      <c r="U4" s="560"/>
      <c r="V4" s="1176"/>
      <c r="W4" s="1176"/>
      <c r="X4" s="1176"/>
      <c r="Y4" s="1176"/>
      <c r="Z4" s="1176"/>
      <c r="AF4" s="1648">
        <v>0</v>
      </c>
    </row>
    <row customHeight="1" ht="11.549999999999999">
      <c r="AF5" s="1647">
        <v>11</v>
      </c>
    </row>
    <row customHeight="1" ht="33.75">
      <c r="E6" s="2264" t="s">
        <v>927</v>
      </c>
      <c r="F6" s="2264"/>
      <c r="G6" s="2264"/>
      <c r="H6" s="2264"/>
      <c r="I6" s="2264"/>
      <c r="J6" s="572"/>
      <c r="AF6" s="1647">
        <v>32</v>
      </c>
    </row>
    <row customHeight="1" ht="25.2">
      <c r="E7" s="2265" t="str">
        <f>IF(org=0,"Не определено",org)</f>
        <v>КГУП "Примтеплоэнерго"</v>
      </c>
      <c r="F7" s="2265"/>
      <c r="G7" s="2265"/>
      <c r="H7" s="2265"/>
      <c r="I7" s="2265"/>
      <c r="AF7" s="1647">
        <v>24</v>
      </c>
    </row>
    <row customHeight="1" ht="11.549999999999999">
      <c r="E8" s="1151"/>
      <c r="F8" s="1151"/>
      <c r="G8" s="1151"/>
      <c r="H8" s="1151"/>
      <c r="I8" s="1151"/>
      <c r="AF8" s="1647">
        <v>11</v>
      </c>
    </row>
    <row s="1658" customFormat="1" customHeight="1" ht="1.05">
      <c r="A9" s="1183"/>
      <c r="D9" s="1658"/>
      <c r="H9" s="905"/>
      <c r="I9" s="905" t="s">
        <v>186</v>
      </c>
      <c r="AF9" s="1652">
        <v>1</v>
      </c>
    </row>
    <row customHeight="1" ht="11.549999999999999">
      <c r="E10" s="727"/>
      <c r="F10" s="2383" t="s">
        <v>178</v>
      </c>
      <c r="G10" s="2384"/>
      <c r="H10" s="1675" t="str">
        <f>IF(H9="","",INDEX(DIFFERENTIATION_UNMERGE_VD,MATCH(H9,DIFFERENTIATION_ID_DIFF,0)))</f>
        <v/>
      </c>
      <c r="I10" s="1675">
        <f>IF(I9="","",INDEX(DIFFERENTIATION_UNMERGE_VD,MATCH(I9,DIFFERENTIATION_ID_DIFF,0)))</f>
        <v>0</v>
      </c>
      <c r="J10" s="2143"/>
      <c r="AF10" s="1647">
        <v>11</v>
      </c>
    </row>
    <row customHeight="1" ht="11.549999999999999">
      <c r="E11" s="727"/>
      <c r="F11" s="2383" t="s">
        <v>717</v>
      </c>
      <c r="G11" s="2384"/>
      <c r="H11" s="1675" t="str">
        <f>IF(H9="","",INDEX(DIFFERENTIATION_UNMERGE_AREA,MATCH(H9,DIFFERENTIATION_ID_DIFF,0)))</f>
        <v/>
      </c>
      <c r="I11" s="1675" t="str">
        <f>IF(I9="","",INDEX(DIFFERENTIATION_UNMERGE_AREA,MATCH(I9,DIFFERENTIATION_ID_DIFF,0)))</f>
        <v/>
      </c>
      <c r="J11" s="2143"/>
      <c r="AF11" s="1647">
        <v>11</v>
      </c>
    </row>
    <row customHeight="1" ht="11.25" hidden="1">
      <c r="E12" s="1678"/>
      <c r="F12" s="2406" t="s">
        <v>718</v>
      </c>
      <c r="G12" s="2407"/>
      <c r="H12" s="1679" t="str">
        <f>IF(H9="","",INDEX(DIFFERENTIATION_UNMERGE_SYSTEM,MATCH(H9,DIFFERENTIATION_ID_DIFF,0)))</f>
        <v/>
      </c>
      <c r="I12" s="1679" t="str">
        <f>IF(I9="","",INDEX(DIFFERENTIATION_UNMERGE_SYSTEM,MATCH(I9,DIFFERENTIATION_ID_DIFF,0)))</f>
        <v>без дифференциации</v>
      </c>
      <c r="J12" s="2143"/>
      <c r="AF12" s="1647">
        <v>0</v>
      </c>
    </row>
    <row customHeight="1" ht="11.549999999999999">
      <c r="E13" s="2385" t="s">
        <v>453</v>
      </c>
      <c r="F13" s="2386"/>
      <c r="G13" s="2386"/>
      <c r="H13" s="1672"/>
      <c r="I13" s="1672"/>
      <c r="J13" s="2143"/>
      <c r="AF13" s="1647">
        <v>11</v>
      </c>
    </row>
    <row customHeight="1" ht="24">
      <c r="E14" s="1673" t="s">
        <v>91</v>
      </c>
      <c r="F14" s="1676" t="s">
        <v>455</v>
      </c>
      <c r="G14" s="1676" t="s">
        <v>719</v>
      </c>
      <c r="H14" s="1676" t="s">
        <v>456</v>
      </c>
      <c r="I14" s="1676" t="s">
        <v>456</v>
      </c>
      <c r="J14" s="2143"/>
      <c r="AF14" s="1647">
        <v>23</v>
      </c>
    </row>
    <row customHeight="1" ht="19.95">
      <c r="D15" s="1654"/>
      <c r="E15" s="1646" t="s">
        <v>141</v>
      </c>
      <c r="F15" s="723" t="s">
        <v>928</v>
      </c>
      <c r="G15" s="1673" t="s">
        <v>705</v>
      </c>
      <c r="H15" s="573"/>
      <c r="I15" s="573"/>
      <c r="J15" s="305" t="s">
        <v>929</v>
      </c>
      <c r="K15" s="559" t="s">
        <v>783</v>
      </c>
      <c r="AF15" s="1647">
        <v>19</v>
      </c>
    </row>
    <row customHeight="1" ht="24">
      <c r="D16" s="1654"/>
      <c r="E16" s="1646" t="s">
        <v>107</v>
      </c>
      <c r="F16" s="1681" t="s">
        <v>930</v>
      </c>
      <c r="G16" s="1673" t="s">
        <v>705</v>
      </c>
      <c r="H16" s="574">
        <f>SUM(H17,H20:H27)</f>
        <v>0</v>
      </c>
      <c r="I16" s="574">
        <f>SUM(I17,I20:I27)</f>
        <v>0</v>
      </c>
      <c r="J16" s="305" t="s">
        <v>931</v>
      </c>
      <c r="K16" s="559" t="s">
        <v>783</v>
      </c>
      <c r="AF16" s="1647">
        <v>23</v>
      </c>
    </row>
    <row customHeight="1" ht="35.699999999999996">
      <c r="D17" s="1654"/>
      <c r="E17" s="1680" t="s">
        <v>861</v>
      </c>
      <c r="F17" s="1683" t="s">
        <v>932</v>
      </c>
      <c r="G17" s="1670" t="s">
        <v>705</v>
      </c>
      <c r="H17" s="573"/>
      <c r="I17" s="573"/>
      <c r="J17" s="305" t="s">
        <v>933</v>
      </c>
      <c r="K17" s="559"/>
      <c r="AF17" s="1647">
        <v>34</v>
      </c>
    </row>
    <row customHeight="1" ht="19.95">
      <c r="D18" s="1654"/>
      <c r="E18" s="1680" t="s">
        <v>864</v>
      </c>
      <c r="F18" s="1684" t="s">
        <v>934</v>
      </c>
      <c r="G18" s="1670" t="s">
        <v>705</v>
      </c>
      <c r="H18" s="573"/>
      <c r="I18" s="573"/>
      <c r="J18" s="305"/>
      <c r="K18" s="559"/>
      <c r="AF18" s="1647">
        <v>19</v>
      </c>
    </row>
    <row customHeight="1" ht="24">
      <c r="D19" s="1654"/>
      <c r="E19" s="1680" t="s">
        <v>867</v>
      </c>
      <c r="F19" s="1684" t="s">
        <v>935</v>
      </c>
      <c r="G19" s="1670" t="s">
        <v>705</v>
      </c>
      <c r="H19" s="573"/>
      <c r="I19" s="573"/>
      <c r="J19" s="305"/>
      <c r="K19" s="559"/>
      <c r="AF19" s="1647">
        <v>23</v>
      </c>
    </row>
    <row customHeight="1" ht="35.699999999999996">
      <c r="D20" s="1654"/>
      <c r="E20" s="1680" t="s">
        <v>460</v>
      </c>
      <c r="F20" s="1683" t="s">
        <v>936</v>
      </c>
      <c r="G20" s="1670" t="s">
        <v>705</v>
      </c>
      <c r="H20" s="573"/>
      <c r="I20" s="573"/>
      <c r="J20" s="305"/>
      <c r="K20" s="559"/>
      <c r="AF20" s="1647">
        <v>34</v>
      </c>
    </row>
    <row customHeight="1" ht="48.29999999999999">
      <c r="D21" s="1654"/>
      <c r="E21" s="1680" t="s">
        <v>463</v>
      </c>
      <c r="F21" s="1683" t="s">
        <v>937</v>
      </c>
      <c r="G21" s="1670" t="s">
        <v>705</v>
      </c>
      <c r="H21" s="573"/>
      <c r="I21" s="573"/>
      <c r="J21" s="305"/>
      <c r="K21" s="559"/>
      <c r="AF21" s="1647">
        <v>46</v>
      </c>
    </row>
    <row customHeight="1" ht="60">
      <c r="D22" s="1654"/>
      <c r="E22" s="1680" t="s">
        <v>881</v>
      </c>
      <c r="F22" s="1683" t="s">
        <v>938</v>
      </c>
      <c r="G22" s="1670" t="s">
        <v>705</v>
      </c>
      <c r="H22" s="573"/>
      <c r="I22" s="573"/>
      <c r="J22" s="305"/>
      <c r="K22" s="559"/>
      <c r="AF22" s="1647">
        <v>57</v>
      </c>
    </row>
    <row customHeight="1" ht="35.699999999999996">
      <c r="D23" s="1654"/>
      <c r="E23" s="1680" t="s">
        <v>888</v>
      </c>
      <c r="F23" s="1683" t="s">
        <v>939</v>
      </c>
      <c r="G23" s="1670" t="s">
        <v>705</v>
      </c>
      <c r="H23" s="573"/>
      <c r="I23" s="573"/>
      <c r="J23" s="305"/>
      <c r="K23" s="559"/>
      <c r="AF23" s="1647">
        <v>34</v>
      </c>
    </row>
    <row customHeight="1" ht="35.699999999999996">
      <c r="D24" s="1654"/>
      <c r="E24" s="1680" t="s">
        <v>890</v>
      </c>
      <c r="F24" s="1683" t="s">
        <v>940</v>
      </c>
      <c r="G24" s="1670" t="s">
        <v>705</v>
      </c>
      <c r="H24" s="573"/>
      <c r="I24" s="573"/>
      <c r="J24" s="305"/>
      <c r="K24" s="559"/>
      <c r="AF24" s="1647">
        <v>34</v>
      </c>
    </row>
    <row customHeight="1" ht="24">
      <c r="D25" s="1654"/>
      <c r="E25" s="1680" t="s">
        <v>892</v>
      </c>
      <c r="F25" s="1683" t="s">
        <v>941</v>
      </c>
      <c r="G25" s="1670" t="s">
        <v>705</v>
      </c>
      <c r="H25" s="573"/>
      <c r="I25" s="573"/>
      <c r="J25" s="305"/>
      <c r="K25" s="559"/>
      <c r="AF25" s="1647">
        <v>23</v>
      </c>
    </row>
    <row customHeight="1" ht="76.5">
      <c r="D26" s="1654"/>
      <c r="E26" s="1680" t="s">
        <v>894</v>
      </c>
      <c r="F26" s="1683" t="s">
        <v>942</v>
      </c>
      <c r="G26" s="1670" t="s">
        <v>705</v>
      </c>
      <c r="H26" s="573"/>
      <c r="I26" s="573"/>
      <c r="J26" s="305"/>
      <c r="K26" s="559"/>
      <c r="AF26" s="1647">
        <v>73</v>
      </c>
    </row>
    <row s="1382" customFormat="1" customHeight="1" ht="35.699999999999996">
      <c r="A27" s="1003"/>
      <c r="C27" s="1652"/>
      <c r="D27" s="1654"/>
      <c r="E27" s="1645" t="s">
        <v>898</v>
      </c>
      <c r="F27" s="1644" t="s">
        <v>943</v>
      </c>
      <c r="G27" s="1671" t="s">
        <v>705</v>
      </c>
      <c r="H27" s="595">
        <f>SUM(H28:H29)</f>
        <v>0</v>
      </c>
      <c r="I27" s="595">
        <f>SUM(I28:I29)</f>
        <v>0</v>
      </c>
      <c r="J27" s="305" t="s">
        <v>896</v>
      </c>
      <c r="K27" s="559"/>
      <c r="L27" s="1652"/>
      <c r="M27" s="1652"/>
      <c r="R27" s="1652"/>
      <c r="U27" s="560"/>
      <c r="AA27" s="1648"/>
      <c r="AB27" s="1648"/>
      <c r="AC27" s="1648"/>
      <c r="AD27" s="1648"/>
      <c r="AE27" s="1648"/>
      <c r="AF27" s="1176">
        <v>34</v>
      </c>
    </row>
    <row s="1658" customFormat="1" customHeight="1" ht="1.05">
      <c r="A28" s="1183"/>
      <c r="D28" s="564"/>
      <c r="E28" s="818" t="str">
        <f>E27&amp;".0"</f>
        <v>2.9.0</v>
      </c>
      <c r="F28" s="1007"/>
      <c r="G28" s="567"/>
      <c r="H28" s="1008"/>
      <c r="I28" s="1008"/>
      <c r="J28" s="1009"/>
      <c r="AF28" s="1652">
        <v>1</v>
      </c>
    </row>
    <row s="1382" customFormat="1" customHeight="1" ht="19.95">
      <c r="A29" s="1003"/>
      <c r="C29" s="1652"/>
      <c r="D29" s="1649"/>
      <c r="E29" s="586"/>
      <c r="F29" s="1682" t="s">
        <v>730</v>
      </c>
      <c r="G29" s="588"/>
      <c r="H29" s="589"/>
      <c r="I29" s="589"/>
      <c r="J29" s="317" t="s">
        <v>897</v>
      </c>
      <c r="K29" s="559"/>
      <c r="L29" s="1652"/>
      <c r="M29" s="1652"/>
      <c r="R29" s="1652"/>
      <c r="U29" s="560"/>
      <c r="AA29" s="1648"/>
      <c r="AB29" s="1648"/>
      <c r="AC29" s="1648"/>
      <c r="AD29" s="1648"/>
      <c r="AE29" s="1648"/>
      <c r="AF29" s="1176">
        <v>19</v>
      </c>
    </row>
    <row s="1382" customFormat="1" customHeight="1" ht="24">
      <c r="A30" s="1003"/>
      <c r="C30" s="1652"/>
      <c r="D30" s="1654"/>
      <c r="E30" s="1680" t="s">
        <v>93</v>
      </c>
      <c r="F30" s="1677" t="s">
        <v>944</v>
      </c>
      <c r="G30" s="1670" t="s">
        <v>705</v>
      </c>
      <c r="H30" s="573"/>
      <c r="I30" s="573"/>
      <c r="J30" s="305"/>
      <c r="K30" s="559"/>
      <c r="L30" s="1652"/>
      <c r="M30" s="1652"/>
      <c r="R30" s="1652"/>
      <c r="U30" s="560"/>
      <c r="AA30" s="1648"/>
      <c r="AB30" s="1648"/>
      <c r="AC30" s="1648"/>
      <c r="AD30" s="1648"/>
      <c r="AE30" s="1648"/>
      <c r="AF30" s="1176">
        <v>23</v>
      </c>
    </row>
    <row s="1382" customFormat="1" customHeight="1" ht="35.699999999999996">
      <c r="A31" s="1003"/>
      <c r="C31" s="1652"/>
      <c r="D31" s="591"/>
      <c r="E31" s="1680" t="s">
        <v>94</v>
      </c>
      <c r="F31" s="1677" t="s">
        <v>945</v>
      </c>
      <c r="G31" s="1670" t="s">
        <v>705</v>
      </c>
      <c r="H31" s="573"/>
      <c r="I31" s="573"/>
      <c r="J31" s="305" t="s">
        <v>946</v>
      </c>
      <c r="K31" s="559"/>
      <c r="L31" s="1652"/>
      <c r="M31" s="1652"/>
      <c r="R31" s="1652"/>
      <c r="U31" s="560"/>
      <c r="AA31" s="1648"/>
      <c r="AB31" s="1648"/>
      <c r="AC31" s="1648"/>
      <c r="AD31" s="1648"/>
      <c r="AE31" s="1648"/>
      <c r="AF31" s="1176">
        <v>34</v>
      </c>
    </row>
    <row s="1382" customFormat="1" customHeight="1" ht="24">
      <c r="A32" s="1003"/>
      <c r="C32" s="1652"/>
      <c r="D32" s="1654"/>
      <c r="E32" s="1680" t="s">
        <v>906</v>
      </c>
      <c r="F32" s="706" t="s">
        <v>910</v>
      </c>
      <c r="G32" s="1670" t="s">
        <v>705</v>
      </c>
      <c r="H32" s="573"/>
      <c r="I32" s="573"/>
      <c r="J32" s="305" t="s">
        <v>947</v>
      </c>
      <c r="K32" s="559"/>
      <c r="L32" s="1652"/>
      <c r="M32" s="1652"/>
      <c r="R32" s="1652"/>
      <c r="U32" s="560"/>
      <c r="AA32" s="1648"/>
      <c r="AB32" s="1648"/>
      <c r="AC32" s="1648"/>
      <c r="AD32" s="1648"/>
      <c r="AE32" s="1648"/>
      <c r="AF32" s="1176">
        <v>23</v>
      </c>
    </row>
    <row s="1382" customFormat="1" customHeight="1" ht="24">
      <c r="A33" s="1003"/>
      <c r="C33" s="1652"/>
      <c r="D33" s="1654"/>
      <c r="E33" s="1680" t="s">
        <v>948</v>
      </c>
      <c r="F33" s="706" t="s">
        <v>949</v>
      </c>
      <c r="G33" s="1670" t="s">
        <v>705</v>
      </c>
      <c r="H33" s="573"/>
      <c r="I33" s="573"/>
      <c r="J33" s="305" t="s">
        <v>950</v>
      </c>
      <c r="K33" s="559"/>
      <c r="L33" s="1652"/>
      <c r="M33" s="1652"/>
      <c r="R33" s="1652"/>
      <c r="U33" s="560"/>
      <c r="AA33" s="1648"/>
      <c r="AB33" s="1648"/>
      <c r="AC33" s="1648"/>
      <c r="AD33" s="1648"/>
      <c r="AE33" s="1648"/>
      <c r="AF33" s="1176">
        <v>23</v>
      </c>
    </row>
    <row s="1382" customFormat="1" customHeight="1" ht="24">
      <c r="A34" s="1003"/>
      <c r="C34" s="1652"/>
      <c r="D34" s="1654"/>
      <c r="E34" s="1680" t="s">
        <v>951</v>
      </c>
      <c r="F34" s="706" t="s">
        <v>916</v>
      </c>
      <c r="G34" s="1670" t="s">
        <v>705</v>
      </c>
      <c r="H34" s="573"/>
      <c r="I34" s="573"/>
      <c r="J34" s="305" t="s">
        <v>952</v>
      </c>
      <c r="K34" s="559"/>
      <c r="L34" s="1652"/>
      <c r="M34" s="1652"/>
      <c r="R34" s="1652"/>
      <c r="U34" s="560"/>
      <c r="AA34" s="1648"/>
      <c r="AB34" s="1648"/>
      <c r="AC34" s="1648"/>
      <c r="AD34" s="1648"/>
      <c r="AE34" s="1648"/>
      <c r="AF34" s="1176">
        <v>23</v>
      </c>
    </row>
    <row s="1382" customFormat="1" customHeight="1" ht="35.699999999999996">
      <c r="A35" s="1003"/>
      <c r="C35" s="1652" t="s">
        <v>741</v>
      </c>
      <c r="D35" s="1654"/>
      <c r="E35" s="1680" t="s">
        <v>122</v>
      </c>
      <c r="F35" s="1677" t="s">
        <v>782</v>
      </c>
      <c r="G35" s="1673" t="s">
        <v>459</v>
      </c>
      <c r="H35" s="417"/>
      <c r="I35" s="417"/>
      <c r="J35" s="305" t="s">
        <v>953</v>
      </c>
      <c r="K35" s="559"/>
      <c r="L35" s="1652"/>
      <c r="M35" s="1652"/>
      <c r="R35" s="1652"/>
      <c r="U35" s="560"/>
      <c r="AA35" s="1648"/>
      <c r="AB35" s="1648"/>
      <c r="AC35" s="1648"/>
      <c r="AD35" s="1648"/>
      <c r="AE35" s="1648"/>
      <c r="AF35" s="1176">
        <v>34</v>
      </c>
    </row>
    <row s="1382" customFormat="1" customHeight="1" ht="35.699999999999996">
      <c r="A36" s="1003"/>
      <c r="C36" s="1652"/>
      <c r="D36" s="1654"/>
      <c r="E36" s="1680" t="s">
        <v>95</v>
      </c>
      <c r="F36" s="1677" t="s">
        <v>954</v>
      </c>
      <c r="G36" s="1670" t="s">
        <v>921</v>
      </c>
      <c r="H36" s="561"/>
      <c r="I36" s="561"/>
      <c r="J36" s="305" t="s">
        <v>922</v>
      </c>
      <c r="K36" s="559"/>
      <c r="L36" s="1652"/>
      <c r="M36" s="1652"/>
      <c r="R36" s="1652"/>
      <c r="U36" s="560"/>
      <c r="AA36" s="1648"/>
      <c r="AB36" s="1648"/>
      <c r="AC36" s="1648"/>
      <c r="AD36" s="1648"/>
      <c r="AE36" s="1648"/>
      <c r="AF36" s="1176">
        <v>34</v>
      </c>
    </row>
    <row s="1382" customFormat="1" customHeight="1" ht="24">
      <c r="A37" s="1003"/>
      <c r="C37" s="1652"/>
      <c r="D37" s="1654"/>
      <c r="E37" s="1680" t="s">
        <v>96</v>
      </c>
      <c r="F37" s="1677" t="s">
        <v>955</v>
      </c>
      <c r="G37" s="1670" t="s">
        <v>924</v>
      </c>
      <c r="H37" s="561"/>
      <c r="I37" s="561"/>
      <c r="J37" s="305" t="s">
        <v>925</v>
      </c>
      <c r="K37" s="559"/>
      <c r="L37" s="1652"/>
      <c r="M37" s="1652"/>
      <c r="R37" s="1652"/>
      <c r="U37" s="560"/>
      <c r="AA37" s="1648"/>
      <c r="AB37" s="1648"/>
      <c r="AC37" s="1648"/>
      <c r="AD37" s="1648"/>
      <c r="AE37" s="1648"/>
      <c r="AF37" s="1176">
        <v>23</v>
      </c>
    </row>
    <row customHeight="1" ht="11.549999999999999">
      <c r="D38" s="1654"/>
      <c r="AF38" s="1647">
        <v>11</v>
      </c>
    </row>
    <row customHeight="1" ht="27.299999999999997">
      <c r="D39" s="1654"/>
      <c r="E39" s="1269" t="s">
        <v>956</v>
      </c>
      <c r="F39" s="2301" t="s">
        <v>957</v>
      </c>
      <c r="G39" s="2301"/>
      <c r="H39" s="385"/>
      <c r="I39" s="385"/>
      <c r="J39" s="385"/>
      <c r="AF39" s="1647">
        <v>26</v>
      </c>
    </row>
    <row s="1657" customFormat="1" customHeight="1" ht="39.75">
      <c r="A40" s="1003"/>
      <c r="B40" s="1652"/>
      <c r="C40" s="1652"/>
      <c r="D40" s="367"/>
      <c r="F40" s="2301" t="s">
        <v>958</v>
      </c>
      <c r="G40" s="2301"/>
      <c r="H40" s="385"/>
      <c r="I40" s="385"/>
      <c r="J40" s="385"/>
      <c r="K40" s="1176"/>
      <c r="L40" s="1652"/>
      <c r="M40" s="1652"/>
      <c r="N40" s="1176"/>
      <c r="O40" s="1176"/>
      <c r="P40" s="1176"/>
      <c r="Q40" s="1176"/>
      <c r="R40" s="1652"/>
      <c r="S40" s="1176"/>
      <c r="T40" s="1176"/>
      <c r="U40" s="560"/>
      <c r="V40" s="1176"/>
      <c r="W40" s="1176"/>
      <c r="X40" s="1176"/>
      <c r="Y40" s="1176"/>
      <c r="Z40" s="1176"/>
      <c r="AA40" s="1648"/>
      <c r="AB40" s="582"/>
      <c r="AC40" s="582"/>
      <c r="AD40" s="582"/>
      <c r="AE40" s="582"/>
      <c r="AF40" s="1657">
        <v>38</v>
      </c>
    </row>
    <row s="1657" customFormat="1" customHeight="1" ht="11.549999999999999">
      <c r="A41" s="1003"/>
      <c r="B41" s="1652"/>
      <c r="C41" s="1652"/>
      <c r="D41" s="367"/>
      <c r="K41" s="1176"/>
      <c r="L41" s="1652"/>
      <c r="M41" s="1652"/>
      <c r="N41" s="1176"/>
      <c r="O41" s="1176"/>
      <c r="P41" s="1176"/>
      <c r="Q41" s="1176"/>
      <c r="R41" s="1652"/>
      <c r="S41" s="1176"/>
      <c r="T41" s="1176"/>
      <c r="U41" s="560"/>
      <c r="V41" s="1176"/>
      <c r="W41" s="1176"/>
      <c r="X41" s="1176"/>
      <c r="Y41" s="1176"/>
      <c r="Z41" s="1176"/>
      <c r="AA41" s="1648"/>
      <c r="AB41" s="582"/>
      <c r="AC41" s="582"/>
      <c r="AD41" s="582"/>
      <c r="AE41" s="582"/>
      <c r="AF41" s="1657">
        <v>11</v>
      </c>
    </row>
    <row s="1657" customFormat="1" customHeight="1" ht="11.549999999999999">
      <c r="A42" s="1003"/>
      <c r="B42" s="1652"/>
      <c r="C42" s="1652"/>
      <c r="D42" s="367"/>
      <c r="K42" s="1176"/>
      <c r="L42" s="1652"/>
      <c r="M42" s="1652"/>
      <c r="N42" s="1176"/>
      <c r="O42" s="1176"/>
      <c r="P42" s="1176"/>
      <c r="Q42" s="1176"/>
      <c r="R42" s="1652"/>
      <c r="S42" s="1176"/>
      <c r="T42" s="1176"/>
      <c r="U42" s="560"/>
      <c r="V42" s="1176"/>
      <c r="W42" s="1176"/>
      <c r="X42" s="1176"/>
      <c r="Y42" s="1176"/>
      <c r="Z42" s="1176"/>
      <c r="AA42" s="1648"/>
      <c r="AB42" s="582"/>
      <c r="AC42" s="582"/>
      <c r="AD42" s="582"/>
      <c r="AE42" s="582"/>
      <c r="AF42" s="1657">
        <v>11</v>
      </c>
    </row>
    <row s="1657" customFormat="1" customHeight="1" ht="11.549999999999999">
      <c r="A43" s="1003"/>
      <c r="B43" s="1652"/>
      <c r="C43" s="1652"/>
      <c r="D43" s="367"/>
      <c r="H43" s="582"/>
      <c r="I43" s="582"/>
      <c r="K43" s="1176"/>
      <c r="L43" s="1652"/>
      <c r="M43" s="1652"/>
      <c r="N43" s="1176"/>
      <c r="O43" s="1176"/>
      <c r="P43" s="1176"/>
      <c r="Q43" s="1176"/>
      <c r="R43" s="1652"/>
      <c r="S43" s="1176"/>
      <c r="T43" s="1176"/>
      <c r="U43" s="560"/>
      <c r="V43" s="1176"/>
      <c r="W43" s="1176"/>
      <c r="X43" s="1176"/>
      <c r="Y43" s="1176"/>
      <c r="Z43" s="1176"/>
      <c r="AA43" s="1648"/>
      <c r="AB43" s="582"/>
      <c r="AC43" s="582"/>
      <c r="AD43" s="582"/>
      <c r="AE43" s="582"/>
      <c r="AF43" s="1657">
        <v>11</v>
      </c>
    </row>
    <row s="1657" customFormat="1" customHeight="1" ht="11.549999999999999">
      <c r="A44" s="1003"/>
      <c r="B44" s="1652"/>
      <c r="C44" s="1652"/>
      <c r="D44" s="367"/>
      <c r="K44" s="1176"/>
      <c r="L44" s="1652"/>
      <c r="M44" s="1652"/>
      <c r="N44" s="1176"/>
      <c r="O44" s="1176"/>
      <c r="P44" s="1176"/>
      <c r="Q44" s="1176"/>
      <c r="R44" s="1652"/>
      <c r="S44" s="1176"/>
      <c r="T44" s="1176"/>
      <c r="U44" s="560"/>
      <c r="V44" s="1176"/>
      <c r="W44" s="1176"/>
      <c r="X44" s="1176"/>
      <c r="Y44" s="1176"/>
      <c r="Z44" s="1176"/>
      <c r="AA44" s="1648"/>
      <c r="AB44" s="582"/>
      <c r="AC44" s="582"/>
      <c r="AD44" s="582"/>
      <c r="AE44" s="582"/>
      <c r="AF44" s="1657">
        <v>11</v>
      </c>
    </row>
    <row s="1657" customFormat="1" customHeight="1" ht="11.549999999999999">
      <c r="A45" s="1003"/>
      <c r="B45" s="1652"/>
      <c r="C45" s="1652"/>
      <c r="D45" s="367"/>
      <c r="K45" s="1176"/>
      <c r="L45" s="1652"/>
      <c r="M45" s="1652"/>
      <c r="N45" s="1176"/>
      <c r="O45" s="1176"/>
      <c r="P45" s="1176"/>
      <c r="Q45" s="1176"/>
      <c r="R45" s="1652"/>
      <c r="S45" s="1176"/>
      <c r="T45" s="1176"/>
      <c r="U45" s="560"/>
      <c r="V45" s="1176"/>
      <c r="W45" s="1176"/>
      <c r="X45" s="1176"/>
      <c r="Y45" s="1176"/>
      <c r="Z45" s="1176"/>
      <c r="AA45" s="1648"/>
      <c r="AB45" s="582"/>
      <c r="AC45" s="582"/>
      <c r="AD45" s="582"/>
      <c r="AE45" s="582"/>
      <c r="AF45" s="1657">
        <v>11</v>
      </c>
    </row>
    <row s="1657" customFormat="1" customHeight="1" ht="11.549999999999999">
      <c r="A46" s="1003"/>
      <c r="B46" s="1652"/>
      <c r="C46" s="1652"/>
      <c r="D46" s="367"/>
      <c r="K46" s="1176"/>
      <c r="L46" s="1652"/>
      <c r="M46" s="1652"/>
      <c r="N46" s="1176"/>
      <c r="O46" s="1176"/>
      <c r="P46" s="1176"/>
      <c r="Q46" s="1176"/>
      <c r="R46" s="1652"/>
      <c r="S46" s="1176"/>
      <c r="T46" s="1176"/>
      <c r="U46" s="560"/>
      <c r="V46" s="1176"/>
      <c r="W46" s="1176"/>
      <c r="X46" s="1176"/>
      <c r="Y46" s="1176"/>
      <c r="Z46" s="1176"/>
      <c r="AA46" s="1648"/>
      <c r="AB46" s="582"/>
      <c r="AC46" s="582"/>
      <c r="AD46" s="582"/>
      <c r="AE46" s="582"/>
      <c r="AF46" s="1657">
        <v>11</v>
      </c>
    </row>
    <row s="1657" customFormat="1" customHeight="1" ht="11.549999999999999">
      <c r="A47" s="1003"/>
      <c r="B47" s="1652"/>
      <c r="C47" s="1652"/>
      <c r="D47" s="367"/>
      <c r="K47" s="1176"/>
      <c r="L47" s="1652"/>
      <c r="M47" s="1652"/>
      <c r="N47" s="1176"/>
      <c r="O47" s="1176"/>
      <c r="P47" s="1176"/>
      <c r="Q47" s="1176"/>
      <c r="R47" s="1652"/>
      <c r="S47" s="1176"/>
      <c r="T47" s="1176"/>
      <c r="U47" s="560"/>
      <c r="V47" s="1176"/>
      <c r="W47" s="1176"/>
      <c r="X47" s="1176"/>
      <c r="Y47" s="1176"/>
      <c r="Z47" s="1176"/>
      <c r="AA47" s="1648"/>
      <c r="AB47" s="582"/>
      <c r="AC47" s="582"/>
      <c r="AD47" s="582"/>
      <c r="AE47" s="582"/>
      <c r="AF47" s="1657">
        <v>11</v>
      </c>
    </row>
    <row s="1657" customFormat="1" customHeight="1" ht="11.549999999999999">
      <c r="A48" s="1003"/>
      <c r="B48" s="1652"/>
      <c r="C48" s="1652"/>
      <c r="D48" s="367"/>
      <c r="K48" s="1176"/>
      <c r="L48" s="1652"/>
      <c r="M48" s="1652"/>
      <c r="N48" s="1176"/>
      <c r="O48" s="1176"/>
      <c r="P48" s="1176"/>
      <c r="Q48" s="1176"/>
      <c r="R48" s="1652"/>
      <c r="S48" s="1176"/>
      <c r="T48" s="1176"/>
      <c r="U48" s="560"/>
      <c r="V48" s="1176"/>
      <c r="W48" s="1176"/>
      <c r="X48" s="1176"/>
      <c r="Y48" s="1176"/>
      <c r="Z48" s="1176"/>
      <c r="AA48" s="1648"/>
      <c r="AB48" s="582"/>
      <c r="AC48" s="582"/>
      <c r="AD48" s="582"/>
      <c r="AE48" s="582"/>
      <c r="AF48" s="1657">
        <v>11</v>
      </c>
    </row>
    <row s="1657" customFormat="1" customHeight="1" ht="11.549999999999999">
      <c r="A49" s="1003"/>
      <c r="B49" s="1652"/>
      <c r="C49" s="1652"/>
      <c r="D49" s="367"/>
      <c r="K49" s="1176"/>
      <c r="L49" s="1652"/>
      <c r="M49" s="1652"/>
      <c r="N49" s="1176"/>
      <c r="O49" s="1176"/>
      <c r="P49" s="1176"/>
      <c r="Q49" s="1176"/>
      <c r="R49" s="1652"/>
      <c r="S49" s="1176"/>
      <c r="T49" s="1176"/>
      <c r="U49" s="560"/>
      <c r="V49" s="1176"/>
      <c r="W49" s="1176"/>
      <c r="X49" s="1176"/>
      <c r="Y49" s="1176"/>
      <c r="Z49" s="1176"/>
      <c r="AA49" s="1648"/>
      <c r="AB49" s="582"/>
      <c r="AC49" s="582"/>
      <c r="AD49" s="582"/>
      <c r="AE49" s="582"/>
      <c r="AF49" s="1657">
        <v>11</v>
      </c>
    </row>
    <row s="1657" customFormat="1" customHeight="1" ht="11.549999999999999">
      <c r="A50" s="1003"/>
      <c r="B50" s="1652"/>
      <c r="C50" s="1652"/>
      <c r="D50" s="367"/>
      <c r="K50" s="1176"/>
      <c r="L50" s="1652"/>
      <c r="M50" s="1652"/>
      <c r="N50" s="1176"/>
      <c r="O50" s="1176"/>
      <c r="P50" s="1176"/>
      <c r="Q50" s="1176"/>
      <c r="R50" s="1652"/>
      <c r="S50" s="1176"/>
      <c r="T50" s="1176"/>
      <c r="U50" s="560"/>
      <c r="V50" s="1176"/>
      <c r="W50" s="1176"/>
      <c r="X50" s="1176"/>
      <c r="Y50" s="1176"/>
      <c r="Z50" s="1176"/>
      <c r="AA50" s="1648"/>
      <c r="AB50" s="582"/>
      <c r="AC50" s="582"/>
      <c r="AD50" s="582"/>
      <c r="AE50" s="582"/>
      <c r="AF50" s="1657">
        <v>11</v>
      </c>
    </row>
    <row s="1657" customFormat="1" customHeight="1" ht="11.549999999999999">
      <c r="A51" s="1003"/>
      <c r="B51" s="1652"/>
      <c r="C51" s="1652"/>
      <c r="D51" s="367"/>
      <c r="K51" s="1176"/>
      <c r="L51" s="1652"/>
      <c r="M51" s="1652"/>
      <c r="N51" s="1176"/>
      <c r="O51" s="1176"/>
      <c r="P51" s="1176"/>
      <c r="Q51" s="1176"/>
      <c r="R51" s="1652"/>
      <c r="S51" s="1176"/>
      <c r="T51" s="1176"/>
      <c r="U51" s="560"/>
      <c r="V51" s="1176"/>
      <c r="W51" s="1176"/>
      <c r="X51" s="1176"/>
      <c r="Y51" s="1176"/>
      <c r="Z51" s="1176"/>
      <c r="AA51" s="1648"/>
      <c r="AB51" s="582"/>
      <c r="AC51" s="582"/>
      <c r="AD51" s="582"/>
      <c r="AE51" s="582"/>
      <c r="AF51" s="1657">
        <v>11</v>
      </c>
    </row>
    <row s="1657" customFormat="1" customHeight="1" ht="11.549999999999999">
      <c r="A52" s="1003"/>
      <c r="B52" s="1652"/>
      <c r="C52" s="1652"/>
      <c r="D52" s="367"/>
      <c r="K52" s="1176"/>
      <c r="L52" s="1652"/>
      <c r="M52" s="1652"/>
      <c r="N52" s="1176"/>
      <c r="O52" s="1176"/>
      <c r="P52" s="1176"/>
      <c r="Q52" s="1176"/>
      <c r="R52" s="1652"/>
      <c r="S52" s="1176"/>
      <c r="T52" s="1176"/>
      <c r="U52" s="560"/>
      <c r="V52" s="1176"/>
      <c r="W52" s="1176"/>
      <c r="X52" s="1176"/>
      <c r="Y52" s="1176"/>
      <c r="Z52" s="1176"/>
      <c r="AA52" s="1648"/>
      <c r="AB52" s="582"/>
      <c r="AC52" s="582"/>
      <c r="AD52" s="582"/>
      <c r="AE52" s="582"/>
      <c r="AF52" s="1657">
        <v>11</v>
      </c>
    </row>
    <row s="1657" customFormat="1" customHeight="1" ht="11.549999999999999">
      <c r="A53" s="1003"/>
      <c r="B53" s="1652"/>
      <c r="C53" s="1652"/>
      <c r="D53" s="367"/>
      <c r="K53" s="1176"/>
      <c r="L53" s="1652"/>
      <c r="M53" s="1652"/>
      <c r="N53" s="1176"/>
      <c r="O53" s="1176"/>
      <c r="P53" s="1176"/>
      <c r="Q53" s="1176"/>
      <c r="R53" s="1652"/>
      <c r="S53" s="1176"/>
      <c r="T53" s="1176"/>
      <c r="U53" s="560"/>
      <c r="V53" s="1176"/>
      <c r="W53" s="1176"/>
      <c r="X53" s="1176"/>
      <c r="Y53" s="1176"/>
      <c r="Z53" s="1176"/>
      <c r="AA53" s="1648"/>
      <c r="AB53" s="582"/>
      <c r="AC53" s="582"/>
      <c r="AD53" s="582"/>
      <c r="AE53" s="582"/>
      <c r="AF53" s="1657">
        <v>11</v>
      </c>
    </row>
    <row s="1657" customFormat="1" customHeight="1" ht="11.549999999999999">
      <c r="A54" s="1003"/>
      <c r="B54" s="1652"/>
      <c r="C54" s="1652"/>
      <c r="D54" s="367"/>
      <c r="K54" s="1176"/>
      <c r="L54" s="1652"/>
      <c r="M54" s="1652"/>
      <c r="N54" s="1176"/>
      <c r="O54" s="1176"/>
      <c r="P54" s="1176"/>
      <c r="Q54" s="1176"/>
      <c r="R54" s="1652"/>
      <c r="S54" s="1176"/>
      <c r="T54" s="1176"/>
      <c r="U54" s="560"/>
      <c r="V54" s="1176"/>
      <c r="W54" s="1176"/>
      <c r="X54" s="1176"/>
      <c r="Y54" s="1176"/>
      <c r="Z54" s="1176"/>
      <c r="AA54" s="1648"/>
      <c r="AB54" s="582"/>
      <c r="AC54" s="582"/>
      <c r="AD54" s="582"/>
      <c r="AE54" s="582"/>
      <c r="AF54" s="1657">
        <v>11</v>
      </c>
    </row>
    <row s="1657" customFormat="1" customHeight="1" ht="11.549999999999999">
      <c r="A55" s="1003"/>
      <c r="B55" s="1652"/>
      <c r="C55" s="1652"/>
      <c r="D55" s="367"/>
      <c r="K55" s="1176"/>
      <c r="L55" s="1652"/>
      <c r="M55" s="1652"/>
      <c r="N55" s="1176"/>
      <c r="O55" s="1176"/>
      <c r="P55" s="1176"/>
      <c r="Q55" s="1176"/>
      <c r="R55" s="1652"/>
      <c r="S55" s="1176"/>
      <c r="T55" s="1176"/>
      <c r="U55" s="560"/>
      <c r="V55" s="1176"/>
      <c r="W55" s="1176"/>
      <c r="X55" s="1176"/>
      <c r="Y55" s="1176"/>
      <c r="Z55" s="1176"/>
      <c r="AA55" s="1648"/>
      <c r="AB55" s="582"/>
      <c r="AC55" s="582"/>
      <c r="AD55" s="582"/>
      <c r="AE55" s="582"/>
      <c r="AF55" s="1657">
        <v>11</v>
      </c>
    </row>
    <row s="1657" customFormat="1" customHeight="1" ht="11.549999999999999">
      <c r="A56" s="1003"/>
      <c r="B56" s="1652"/>
      <c r="C56" s="1652"/>
      <c r="D56" s="367"/>
      <c r="K56" s="1176"/>
      <c r="L56" s="1652"/>
      <c r="M56" s="1652"/>
      <c r="N56" s="1176"/>
      <c r="O56" s="1176"/>
      <c r="P56" s="1176"/>
      <c r="Q56" s="1176"/>
      <c r="R56" s="1652"/>
      <c r="S56" s="1176"/>
      <c r="T56" s="1176"/>
      <c r="U56" s="560"/>
      <c r="V56" s="1176"/>
      <c r="W56" s="1176"/>
      <c r="X56" s="1176"/>
      <c r="Y56" s="1176"/>
      <c r="Z56" s="1176"/>
      <c r="AA56" s="1648"/>
      <c r="AB56" s="582"/>
      <c r="AC56" s="582"/>
      <c r="AD56" s="582"/>
      <c r="AE56" s="582"/>
      <c r="AF56" s="1657">
        <v>11</v>
      </c>
    </row>
    <row s="1657" customFormat="1" customHeight="1" ht="11.549999999999999">
      <c r="A57" s="1003"/>
      <c r="B57" s="1652"/>
      <c r="C57" s="1652"/>
      <c r="D57" s="367"/>
      <c r="K57" s="1176"/>
      <c r="L57" s="1652"/>
      <c r="M57" s="1652"/>
      <c r="N57" s="1176"/>
      <c r="O57" s="1176"/>
      <c r="P57" s="1176"/>
      <c r="Q57" s="1176"/>
      <c r="R57" s="1652"/>
      <c r="S57" s="1176"/>
      <c r="T57" s="1176"/>
      <c r="U57" s="560"/>
      <c r="V57" s="1176"/>
      <c r="W57" s="1176"/>
      <c r="X57" s="1176"/>
      <c r="Y57" s="1176"/>
      <c r="Z57" s="1176"/>
      <c r="AA57" s="1648"/>
      <c r="AB57" s="582"/>
      <c r="AC57" s="582"/>
      <c r="AD57" s="582"/>
      <c r="AE57" s="582"/>
      <c r="AF57" s="1657">
        <v>11</v>
      </c>
    </row>
    <row s="1657" customFormat="1" customHeight="1" ht="11.549999999999999">
      <c r="A58" s="1003"/>
      <c r="B58" s="1652"/>
      <c r="C58" s="1652"/>
      <c r="D58" s="367"/>
      <c r="K58" s="1176"/>
      <c r="L58" s="1652"/>
      <c r="M58" s="1652"/>
      <c r="N58" s="1176"/>
      <c r="O58" s="1176"/>
      <c r="P58" s="1176"/>
      <c r="Q58" s="1176"/>
      <c r="R58" s="1652"/>
      <c r="S58" s="1176"/>
      <c r="T58" s="1176"/>
      <c r="U58" s="560"/>
      <c r="V58" s="1176"/>
      <c r="W58" s="1176"/>
      <c r="X58" s="1176"/>
      <c r="Y58" s="1176"/>
      <c r="Z58" s="1176"/>
      <c r="AA58" s="1648"/>
      <c r="AB58" s="582"/>
      <c r="AC58" s="582"/>
      <c r="AD58" s="582"/>
      <c r="AE58" s="582"/>
      <c r="AF58" s="1657">
        <v>11</v>
      </c>
    </row>
    <row s="1657" customFormat="1" customHeight="1" ht="11.549999999999999">
      <c r="A59" s="1003"/>
      <c r="B59" s="1652"/>
      <c r="C59" s="1652"/>
      <c r="D59" s="367"/>
      <c r="K59" s="1176"/>
      <c r="L59" s="1652"/>
      <c r="M59" s="1652"/>
      <c r="N59" s="1176"/>
      <c r="O59" s="1176"/>
      <c r="P59" s="1176"/>
      <c r="Q59" s="1176"/>
      <c r="R59" s="1652"/>
      <c r="S59" s="1176"/>
      <c r="T59" s="1176"/>
      <c r="U59" s="560"/>
      <c r="V59" s="1176"/>
      <c r="W59" s="1176"/>
      <c r="X59" s="1176"/>
      <c r="Y59" s="1176"/>
      <c r="Z59" s="1176"/>
      <c r="AA59" s="1648"/>
      <c r="AB59" s="582"/>
      <c r="AC59" s="582"/>
      <c r="AD59" s="582"/>
      <c r="AE59" s="582"/>
      <c r="AF59" s="1657">
        <v>11</v>
      </c>
    </row>
    <row s="1657" customFormat="1" customHeight="1" ht="11.549999999999999">
      <c r="A60" s="1003"/>
      <c r="B60" s="1652"/>
      <c r="C60" s="1652"/>
      <c r="D60" s="367"/>
      <c r="K60" s="1176"/>
      <c r="L60" s="1652"/>
      <c r="M60" s="1652"/>
      <c r="N60" s="1176"/>
      <c r="O60" s="1176"/>
      <c r="P60" s="1176"/>
      <c r="Q60" s="1176"/>
      <c r="R60" s="1652"/>
      <c r="S60" s="1176"/>
      <c r="T60" s="1176"/>
      <c r="U60" s="560"/>
      <c r="V60" s="1176"/>
      <c r="W60" s="1176"/>
      <c r="X60" s="1176"/>
      <c r="Y60" s="1176"/>
      <c r="Z60" s="1176"/>
      <c r="AA60" s="1648"/>
      <c r="AB60" s="582"/>
      <c r="AC60" s="582"/>
      <c r="AD60" s="582"/>
      <c r="AE60" s="582"/>
      <c r="AF60" s="1657">
        <v>11</v>
      </c>
    </row>
    <row s="1657" customFormat="1" customHeight="1" ht="11.549999999999999">
      <c r="A61" s="1003"/>
      <c r="B61" s="1652"/>
      <c r="C61" s="1652"/>
      <c r="D61" s="367"/>
      <c r="K61" s="1176"/>
      <c r="L61" s="1652"/>
      <c r="M61" s="1652"/>
      <c r="N61" s="1176"/>
      <c r="O61" s="1176"/>
      <c r="P61" s="1176"/>
      <c r="Q61" s="1176"/>
      <c r="R61" s="1652"/>
      <c r="S61" s="1176"/>
      <c r="T61" s="1176"/>
      <c r="U61" s="560"/>
      <c r="V61" s="1176"/>
      <c r="W61" s="1176"/>
      <c r="X61" s="1176"/>
      <c r="Y61" s="1176"/>
      <c r="Z61" s="1176"/>
      <c r="AA61" s="1648"/>
      <c r="AB61" s="582"/>
      <c r="AC61" s="582"/>
      <c r="AD61" s="582"/>
      <c r="AE61" s="582"/>
      <c r="AF61" s="1657">
        <v>11</v>
      </c>
    </row>
    <row s="1657" customFormat="1" customHeight="1" ht="11.549999999999999">
      <c r="A62" s="1003"/>
      <c r="B62" s="1652"/>
      <c r="C62" s="1652"/>
      <c r="D62" s="367"/>
      <c r="K62" s="1176"/>
      <c r="L62" s="1652"/>
      <c r="M62" s="1652"/>
      <c r="N62" s="1176"/>
      <c r="O62" s="1176"/>
      <c r="P62" s="1176"/>
      <c r="Q62" s="1176"/>
      <c r="R62" s="1652"/>
      <c r="S62" s="1176"/>
      <c r="T62" s="1176"/>
      <c r="U62" s="560"/>
      <c r="V62" s="1176"/>
      <c r="W62" s="1176"/>
      <c r="X62" s="1176"/>
      <c r="Y62" s="1176"/>
      <c r="Z62" s="1176"/>
      <c r="AA62" s="1648"/>
      <c r="AB62" s="582"/>
      <c r="AC62" s="582"/>
      <c r="AD62" s="582"/>
      <c r="AE62" s="582"/>
      <c r="AF62" s="1657">
        <v>11</v>
      </c>
    </row>
    <row s="1657" customFormat="1" customHeight="1" ht="11.549999999999999">
      <c r="A63" s="1003"/>
      <c r="B63" s="1652"/>
      <c r="C63" s="1652"/>
      <c r="D63" s="367"/>
      <c r="K63" s="1176"/>
      <c r="L63" s="1652"/>
      <c r="M63" s="1652"/>
      <c r="N63" s="1176"/>
      <c r="O63" s="1176"/>
      <c r="P63" s="1176"/>
      <c r="Q63" s="1176"/>
      <c r="R63" s="1652"/>
      <c r="S63" s="1176"/>
      <c r="T63" s="1176"/>
      <c r="U63" s="560"/>
      <c r="V63" s="1176"/>
      <c r="W63" s="1176"/>
      <c r="X63" s="1176"/>
      <c r="Y63" s="1176"/>
      <c r="Z63" s="1176"/>
      <c r="AA63" s="1648"/>
      <c r="AB63" s="582"/>
      <c r="AC63" s="582"/>
      <c r="AD63" s="582"/>
      <c r="AE63" s="582"/>
      <c r="AF63" s="1657">
        <v>11</v>
      </c>
    </row>
    <row s="1657" customFormat="1" customHeight="1" ht="11.549999999999999">
      <c r="A64" s="1003"/>
      <c r="B64" s="1652"/>
      <c r="C64" s="1652"/>
      <c r="D64" s="367"/>
      <c r="K64" s="1176"/>
      <c r="L64" s="1652"/>
      <c r="M64" s="1652"/>
      <c r="N64" s="1176"/>
      <c r="O64" s="1176"/>
      <c r="P64" s="1176"/>
      <c r="Q64" s="1176"/>
      <c r="R64" s="1652"/>
      <c r="S64" s="1176"/>
      <c r="T64" s="1176"/>
      <c r="U64" s="560"/>
      <c r="V64" s="1176"/>
      <c r="W64" s="1176"/>
      <c r="X64" s="1176"/>
      <c r="Y64" s="1176"/>
      <c r="Z64" s="1176"/>
      <c r="AA64" s="1648"/>
      <c r="AB64" s="582"/>
      <c r="AC64" s="582"/>
      <c r="AD64" s="582"/>
      <c r="AE64" s="582"/>
      <c r="AF64" s="1657">
        <v>11</v>
      </c>
    </row>
    <row s="1657" customFormat="1" customHeight="1" ht="11.549999999999999">
      <c r="A65" s="1003"/>
      <c r="B65" s="1652"/>
      <c r="C65" s="1652"/>
      <c r="D65" s="367"/>
      <c r="K65" s="1176"/>
      <c r="L65" s="1652"/>
      <c r="M65" s="1652"/>
      <c r="N65" s="1176"/>
      <c r="O65" s="1176"/>
      <c r="P65" s="1176"/>
      <c r="Q65" s="1176"/>
      <c r="R65" s="1652"/>
      <c r="S65" s="1176"/>
      <c r="T65" s="1176"/>
      <c r="U65" s="560"/>
      <c r="V65" s="1176"/>
      <c r="W65" s="1176"/>
      <c r="X65" s="1176"/>
      <c r="Y65" s="1176"/>
      <c r="Z65" s="1176"/>
      <c r="AA65" s="1648"/>
      <c r="AB65" s="582"/>
      <c r="AC65" s="582"/>
      <c r="AD65" s="582"/>
      <c r="AE65" s="582"/>
      <c r="AF65" s="1657">
        <v>11</v>
      </c>
    </row>
    <row s="1657" customFormat="1" customHeight="1" ht="11.549999999999999">
      <c r="A66" s="1003"/>
      <c r="B66" s="1652"/>
      <c r="C66" s="1652"/>
      <c r="D66" s="367"/>
      <c r="K66" s="1176"/>
      <c r="L66" s="1652"/>
      <c r="M66" s="1652"/>
      <c r="N66" s="1176"/>
      <c r="O66" s="1176"/>
      <c r="P66" s="1176"/>
      <c r="Q66" s="1176"/>
      <c r="R66" s="1652"/>
      <c r="S66" s="1176"/>
      <c r="T66" s="1176"/>
      <c r="U66" s="560"/>
      <c r="V66" s="1176"/>
      <c r="W66" s="1176"/>
      <c r="X66" s="1176"/>
      <c r="Y66" s="1176"/>
      <c r="Z66" s="1176"/>
      <c r="AA66" s="1648"/>
      <c r="AB66" s="582"/>
      <c r="AC66" s="582"/>
      <c r="AD66" s="582"/>
      <c r="AE66" s="582"/>
      <c r="AF66" s="1657">
        <v>11</v>
      </c>
    </row>
    <row s="1657" customFormat="1" customHeight="1" ht="11.549999999999999">
      <c r="A67" s="1003"/>
      <c r="B67" s="1652"/>
      <c r="C67" s="1652"/>
      <c r="D67" s="367"/>
      <c r="K67" s="1176"/>
      <c r="L67" s="1652"/>
      <c r="M67" s="1652"/>
      <c r="N67" s="1176"/>
      <c r="O67" s="1176"/>
      <c r="P67" s="1176"/>
      <c r="Q67" s="1176"/>
      <c r="R67" s="1652"/>
      <c r="S67" s="1176"/>
      <c r="T67" s="1176"/>
      <c r="U67" s="560"/>
      <c r="V67" s="1176"/>
      <c r="W67" s="1176"/>
      <c r="X67" s="1176"/>
      <c r="Y67" s="1176"/>
      <c r="Z67" s="1176"/>
      <c r="AA67" s="1648"/>
      <c r="AB67" s="582"/>
      <c r="AC67" s="582"/>
      <c r="AD67" s="582"/>
      <c r="AE67" s="582"/>
      <c r="AF67" s="1657">
        <v>11</v>
      </c>
    </row>
    <row s="1657" customFormat="1" customHeight="1" ht="11.549999999999999">
      <c r="A68" s="1003"/>
      <c r="B68" s="1652"/>
      <c r="C68" s="1652"/>
      <c r="D68" s="367"/>
      <c r="K68" s="1176"/>
      <c r="L68" s="1652"/>
      <c r="M68" s="1652"/>
      <c r="N68" s="1176"/>
      <c r="O68" s="1176"/>
      <c r="P68" s="1176"/>
      <c r="Q68" s="1176"/>
      <c r="R68" s="1652"/>
      <c r="S68" s="1176"/>
      <c r="T68" s="1176"/>
      <c r="U68" s="560"/>
      <c r="V68" s="1176"/>
      <c r="W68" s="1176"/>
      <c r="X68" s="1176"/>
      <c r="Y68" s="1176"/>
      <c r="Z68" s="1176"/>
      <c r="AA68" s="1648"/>
      <c r="AB68" s="582"/>
      <c r="AC68" s="582"/>
      <c r="AD68" s="582"/>
      <c r="AE68" s="582"/>
      <c r="AF68" s="1657">
        <v>11</v>
      </c>
    </row>
    <row s="1657" customFormat="1" customHeight="1" ht="11.549999999999999">
      <c r="A69" s="1003"/>
      <c r="B69" s="1652"/>
      <c r="C69" s="1652"/>
      <c r="D69" s="367"/>
      <c r="K69" s="1176"/>
      <c r="L69" s="1652"/>
      <c r="M69" s="1652"/>
      <c r="N69" s="1176"/>
      <c r="O69" s="1176"/>
      <c r="P69" s="1176"/>
      <c r="Q69" s="1176"/>
      <c r="R69" s="1652"/>
      <c r="S69" s="1176"/>
      <c r="T69" s="1176"/>
      <c r="U69" s="560"/>
      <c r="V69" s="1176"/>
      <c r="W69" s="1176"/>
      <c r="X69" s="1176"/>
      <c r="Y69" s="1176"/>
      <c r="Z69" s="1176"/>
      <c r="AA69" s="1648"/>
      <c r="AB69" s="582"/>
      <c r="AC69" s="582"/>
      <c r="AD69" s="582"/>
      <c r="AE69" s="582"/>
      <c r="AF69" s="1657">
        <v>11</v>
      </c>
    </row>
    <row s="1657" customFormat="1" customHeight="1" ht="11.549999999999999">
      <c r="A70" s="1003"/>
      <c r="B70" s="1652"/>
      <c r="C70" s="1652"/>
      <c r="D70" s="367"/>
      <c r="K70" s="1176"/>
      <c r="L70" s="1652"/>
      <c r="M70" s="1652"/>
      <c r="N70" s="1176"/>
      <c r="O70" s="1176"/>
      <c r="P70" s="1176"/>
      <c r="Q70" s="1176"/>
      <c r="R70" s="1652"/>
      <c r="S70" s="1176"/>
      <c r="T70" s="1176"/>
      <c r="U70" s="560"/>
      <c r="V70" s="1176"/>
      <c r="W70" s="1176"/>
      <c r="X70" s="1176"/>
      <c r="Y70" s="1176"/>
      <c r="Z70" s="1176"/>
      <c r="AA70" s="1648"/>
      <c r="AB70" s="582"/>
      <c r="AC70" s="582"/>
      <c r="AD70" s="582"/>
      <c r="AE70" s="582"/>
      <c r="AF70" s="1657">
        <v>11</v>
      </c>
    </row>
    <row s="1657" customFormat="1" customHeight="1" ht="11.549999999999999">
      <c r="A71" s="1003"/>
      <c r="B71" s="1652"/>
      <c r="C71" s="1652"/>
      <c r="D71" s="367"/>
      <c r="K71" s="1176"/>
      <c r="L71" s="1652"/>
      <c r="M71" s="1652"/>
      <c r="N71" s="1176"/>
      <c r="O71" s="1176"/>
      <c r="P71" s="1176"/>
      <c r="Q71" s="1176"/>
      <c r="R71" s="1652"/>
      <c r="S71" s="1176"/>
      <c r="T71" s="1176"/>
      <c r="U71" s="560"/>
      <c r="V71" s="1176"/>
      <c r="W71" s="1176"/>
      <c r="X71" s="1176"/>
      <c r="Y71" s="1176"/>
      <c r="Z71" s="1176"/>
      <c r="AA71" s="1648"/>
      <c r="AB71" s="582"/>
      <c r="AC71" s="582"/>
      <c r="AD71" s="582"/>
      <c r="AE71" s="582"/>
      <c r="AF71" s="1657">
        <v>11</v>
      </c>
    </row>
    <row s="1657" customFormat="1" customHeight="1" ht="11.549999999999999">
      <c r="A72" s="1003"/>
      <c r="B72" s="1652"/>
      <c r="C72" s="1652"/>
      <c r="D72" s="367"/>
      <c r="K72" s="1176"/>
      <c r="L72" s="1652"/>
      <c r="M72" s="1652"/>
      <c r="N72" s="1176"/>
      <c r="O72" s="1176"/>
      <c r="P72" s="1176"/>
      <c r="Q72" s="1176"/>
      <c r="R72" s="1652"/>
      <c r="S72" s="1176"/>
      <c r="T72" s="1176"/>
      <c r="U72" s="560"/>
      <c r="V72" s="1176"/>
      <c r="W72" s="1176"/>
      <c r="X72" s="1176"/>
      <c r="Y72" s="1176"/>
      <c r="Z72" s="1176"/>
      <c r="AA72" s="1648"/>
      <c r="AB72" s="582"/>
      <c r="AC72" s="582"/>
      <c r="AD72" s="582"/>
      <c r="AE72" s="582"/>
      <c r="AF72" s="1657">
        <v>11</v>
      </c>
    </row>
    <row s="1657" customFormat="1" customHeight="1" ht="11.549999999999999">
      <c r="A73" s="1003"/>
      <c r="B73" s="1652"/>
      <c r="C73" s="1652"/>
      <c r="D73" s="367"/>
      <c r="K73" s="1176"/>
      <c r="L73" s="1652"/>
      <c r="M73" s="1652"/>
      <c r="N73" s="1176"/>
      <c r="O73" s="1176"/>
      <c r="P73" s="1176"/>
      <c r="Q73" s="1176"/>
      <c r="R73" s="1652"/>
      <c r="S73" s="1176"/>
      <c r="T73" s="1176"/>
      <c r="U73" s="560"/>
      <c r="V73" s="1176"/>
      <c r="W73" s="1176"/>
      <c r="X73" s="1176"/>
      <c r="Y73" s="1176"/>
      <c r="Z73" s="1176"/>
      <c r="AA73" s="1648"/>
      <c r="AB73" s="582"/>
      <c r="AC73" s="582"/>
      <c r="AD73" s="582"/>
      <c r="AE73" s="582"/>
      <c r="AF73" s="1657">
        <v>11</v>
      </c>
    </row>
    <row s="1657" customFormat="1" customHeight="1" ht="11.549999999999999">
      <c r="A74" s="1003"/>
      <c r="B74" s="1652"/>
      <c r="C74" s="1652"/>
      <c r="D74" s="367"/>
      <c r="K74" s="1176"/>
      <c r="L74" s="1652"/>
      <c r="M74" s="1652"/>
      <c r="N74" s="1176"/>
      <c r="O74" s="1176"/>
      <c r="P74" s="1176"/>
      <c r="Q74" s="1176"/>
      <c r="R74" s="1652"/>
      <c r="S74" s="1176"/>
      <c r="T74" s="1176"/>
      <c r="U74" s="560"/>
      <c r="V74" s="1176"/>
      <c r="W74" s="1176"/>
      <c r="X74" s="1176"/>
      <c r="Y74" s="1176"/>
      <c r="Z74" s="1176"/>
      <c r="AA74" s="1648"/>
      <c r="AB74" s="582"/>
      <c r="AC74" s="582"/>
      <c r="AD74" s="582"/>
      <c r="AE74" s="582"/>
      <c r="AF74" s="1657">
        <v>11</v>
      </c>
    </row>
    <row s="1657" customFormat="1" customHeight="1" ht="11.549999999999999">
      <c r="A75" s="1003"/>
      <c r="B75" s="1652"/>
      <c r="C75" s="1652"/>
      <c r="D75" s="367"/>
      <c r="K75" s="1176"/>
      <c r="L75" s="1652"/>
      <c r="M75" s="1652"/>
      <c r="N75" s="1176"/>
      <c r="O75" s="1176"/>
      <c r="P75" s="1176"/>
      <c r="Q75" s="1176"/>
      <c r="R75" s="1652"/>
      <c r="S75" s="1176"/>
      <c r="T75" s="1176"/>
      <c r="U75" s="560"/>
      <c r="V75" s="1176"/>
      <c r="W75" s="1176"/>
      <c r="X75" s="1176"/>
      <c r="Y75" s="1176"/>
      <c r="Z75" s="1176"/>
      <c r="AA75" s="1648"/>
      <c r="AB75" s="582"/>
      <c r="AC75" s="582"/>
      <c r="AD75" s="582"/>
      <c r="AE75" s="582"/>
      <c r="AF75" s="1657">
        <v>11</v>
      </c>
    </row>
    <row s="1657" customFormat="1" customHeight="1" ht="11.549999999999999">
      <c r="A76" s="1003"/>
      <c r="B76" s="1652"/>
      <c r="C76" s="1652"/>
      <c r="D76" s="367"/>
      <c r="K76" s="1176"/>
      <c r="L76" s="1652"/>
      <c r="M76" s="1652"/>
      <c r="N76" s="1176"/>
      <c r="O76" s="1176"/>
      <c r="P76" s="1176"/>
      <c r="Q76" s="1176"/>
      <c r="R76" s="1652"/>
      <c r="S76" s="1176"/>
      <c r="T76" s="1176"/>
      <c r="U76" s="560"/>
      <c r="V76" s="1176"/>
      <c r="W76" s="1176"/>
      <c r="X76" s="1176"/>
      <c r="Y76" s="1176"/>
      <c r="Z76" s="1176"/>
      <c r="AA76" s="1648"/>
      <c r="AB76" s="582"/>
      <c r="AC76" s="582"/>
      <c r="AD76" s="582"/>
      <c r="AE76" s="582"/>
      <c r="AF76" s="1657">
        <v>11</v>
      </c>
    </row>
    <row s="1657" customFormat="1" customHeight="1" ht="11.549999999999999">
      <c r="A77" s="1003"/>
      <c r="B77" s="1652"/>
      <c r="C77" s="1652"/>
      <c r="D77" s="367"/>
      <c r="K77" s="1176"/>
      <c r="L77" s="1652"/>
      <c r="M77" s="1652"/>
      <c r="N77" s="1176"/>
      <c r="O77" s="1176"/>
      <c r="P77" s="1176"/>
      <c r="Q77" s="1176"/>
      <c r="R77" s="1652"/>
      <c r="S77" s="1176"/>
      <c r="T77" s="1176"/>
      <c r="U77" s="560"/>
      <c r="V77" s="1176"/>
      <c r="W77" s="1176"/>
      <c r="X77" s="1176"/>
      <c r="Y77" s="1176"/>
      <c r="Z77" s="1176"/>
      <c r="AA77" s="1648"/>
      <c r="AB77" s="582"/>
      <c r="AC77" s="582"/>
      <c r="AD77" s="582"/>
      <c r="AE77" s="582"/>
      <c r="AF77" s="1657">
        <v>11</v>
      </c>
    </row>
    <row s="1657" customFormat="1" customHeight="1" ht="11.549999999999999">
      <c r="A78" s="1003"/>
      <c r="B78" s="1652"/>
      <c r="C78" s="1652"/>
      <c r="D78" s="367"/>
      <c r="K78" s="1176"/>
      <c r="L78" s="1652"/>
      <c r="M78" s="1652"/>
      <c r="N78" s="1176"/>
      <c r="O78" s="1176"/>
      <c r="P78" s="1176"/>
      <c r="Q78" s="1176"/>
      <c r="R78" s="1652"/>
      <c r="S78" s="1176"/>
      <c r="T78" s="1176"/>
      <c r="U78" s="560"/>
      <c r="V78" s="1176"/>
      <c r="W78" s="1176"/>
      <c r="X78" s="1176"/>
      <c r="Y78" s="1176"/>
      <c r="Z78" s="1176"/>
      <c r="AA78" s="1648"/>
      <c r="AB78" s="582"/>
      <c r="AC78" s="582"/>
      <c r="AD78" s="582"/>
      <c r="AE78" s="582"/>
      <c r="AF78" s="1657">
        <v>11</v>
      </c>
    </row>
    <row s="1657" customFormat="1" customHeight="1" ht="11.549999999999999">
      <c r="A79" s="1003"/>
      <c r="B79" s="1652"/>
      <c r="C79" s="1652"/>
      <c r="D79" s="367"/>
      <c r="K79" s="1176"/>
      <c r="L79" s="1652"/>
      <c r="M79" s="1652"/>
      <c r="N79" s="1176"/>
      <c r="O79" s="1176"/>
      <c r="P79" s="1176"/>
      <c r="Q79" s="1176"/>
      <c r="R79" s="1652"/>
      <c r="S79" s="1176"/>
      <c r="T79" s="1176"/>
      <c r="U79" s="560"/>
      <c r="V79" s="1176"/>
      <c r="W79" s="1176"/>
      <c r="X79" s="1176"/>
      <c r="Y79" s="1176"/>
      <c r="Z79" s="1176"/>
      <c r="AA79" s="1648"/>
      <c r="AB79" s="582"/>
      <c r="AC79" s="582"/>
      <c r="AD79" s="582"/>
      <c r="AE79" s="582"/>
      <c r="AF79" s="1657">
        <v>11</v>
      </c>
    </row>
    <row s="1657" customFormat="1" customHeight="1" ht="11.549999999999999">
      <c r="A80" s="1003"/>
      <c r="B80" s="1652"/>
      <c r="C80" s="1652"/>
      <c r="D80" s="367"/>
      <c r="K80" s="1176"/>
      <c r="L80" s="1652"/>
      <c r="M80" s="1652"/>
      <c r="N80" s="1176"/>
      <c r="O80" s="1176"/>
      <c r="P80" s="1176"/>
      <c r="Q80" s="1176"/>
      <c r="R80" s="1652"/>
      <c r="S80" s="1176"/>
      <c r="T80" s="1176"/>
      <c r="U80" s="560"/>
      <c r="V80" s="1176"/>
      <c r="W80" s="1176"/>
      <c r="X80" s="1176"/>
      <c r="Y80" s="1176"/>
      <c r="Z80" s="1176"/>
      <c r="AA80" s="1648"/>
      <c r="AB80" s="582"/>
      <c r="AC80" s="582"/>
      <c r="AD80" s="582"/>
      <c r="AE80" s="582"/>
      <c r="AF80" s="1657">
        <v>11</v>
      </c>
    </row>
    <row s="1657" customFormat="1" customHeight="1" ht="11.549999999999999">
      <c r="A81" s="1003"/>
      <c r="B81" s="1652"/>
      <c r="C81" s="1652"/>
      <c r="D81" s="367"/>
      <c r="K81" s="1176"/>
      <c r="L81" s="1652"/>
      <c r="M81" s="1652"/>
      <c r="N81" s="1176"/>
      <c r="O81" s="1176"/>
      <c r="P81" s="1176"/>
      <c r="Q81" s="1176"/>
      <c r="R81" s="1652"/>
      <c r="S81" s="1176"/>
      <c r="T81" s="1176"/>
      <c r="U81" s="560"/>
      <c r="V81" s="1176"/>
      <c r="W81" s="1176"/>
      <c r="X81" s="1176"/>
      <c r="Y81" s="1176"/>
      <c r="Z81" s="1176"/>
      <c r="AA81" s="1648"/>
      <c r="AB81" s="582"/>
      <c r="AC81" s="582"/>
      <c r="AD81" s="582"/>
      <c r="AE81" s="582"/>
      <c r="AF81" s="1657">
        <v>11</v>
      </c>
    </row>
    <row s="1657" customFormat="1" customHeight="1" ht="11.549999999999999">
      <c r="A82" s="1003"/>
      <c r="B82" s="1652"/>
      <c r="C82" s="1652"/>
      <c r="D82" s="367"/>
      <c r="K82" s="1176"/>
      <c r="L82" s="1652"/>
      <c r="M82" s="1652"/>
      <c r="N82" s="1176"/>
      <c r="O82" s="1176"/>
      <c r="P82" s="1176"/>
      <c r="Q82" s="1176"/>
      <c r="R82" s="1652"/>
      <c r="S82" s="1176"/>
      <c r="T82" s="1176"/>
      <c r="U82" s="560"/>
      <c r="V82" s="1176"/>
      <c r="W82" s="1176"/>
      <c r="X82" s="1176"/>
      <c r="Y82" s="1176"/>
      <c r="Z82" s="1176"/>
      <c r="AA82" s="1648"/>
      <c r="AB82" s="582"/>
      <c r="AC82" s="582"/>
      <c r="AD82" s="582"/>
      <c r="AE82" s="582"/>
      <c r="AF82" s="1657">
        <v>11</v>
      </c>
    </row>
    <row s="1657" customFormat="1" customHeight="1" ht="11.549999999999999">
      <c r="A83" s="1003"/>
      <c r="B83" s="1652"/>
      <c r="C83" s="1652"/>
      <c r="D83" s="367"/>
      <c r="K83" s="1176"/>
      <c r="L83" s="1652"/>
      <c r="M83" s="1652"/>
      <c r="N83" s="1176"/>
      <c r="O83" s="1176"/>
      <c r="P83" s="1176"/>
      <c r="Q83" s="1176"/>
      <c r="R83" s="1652"/>
      <c r="S83" s="1176"/>
      <c r="T83" s="1176"/>
      <c r="U83" s="560"/>
      <c r="V83" s="1176"/>
      <c r="W83" s="1176"/>
      <c r="X83" s="1176"/>
      <c r="Y83" s="1176"/>
      <c r="Z83" s="1176"/>
      <c r="AA83" s="1648"/>
      <c r="AB83" s="582"/>
      <c r="AC83" s="582"/>
      <c r="AD83" s="582"/>
      <c r="AE83" s="582"/>
      <c r="AF83" s="1657">
        <v>11</v>
      </c>
    </row>
    <row s="1657" customFormat="1" customHeight="1" ht="11.549999999999999">
      <c r="A84" s="1003"/>
      <c r="B84" s="1652"/>
      <c r="C84" s="1652"/>
      <c r="D84" s="367"/>
      <c r="K84" s="1176"/>
      <c r="L84" s="1652"/>
      <c r="M84" s="1652"/>
      <c r="N84" s="1176"/>
      <c r="O84" s="1176"/>
      <c r="P84" s="1176"/>
      <c r="Q84" s="1176"/>
      <c r="R84" s="1652"/>
      <c r="S84" s="1176"/>
      <c r="T84" s="1176"/>
      <c r="U84" s="560"/>
      <c r="V84" s="1176"/>
      <c r="W84" s="1176"/>
      <c r="X84" s="1176"/>
      <c r="Y84" s="1176"/>
      <c r="Z84" s="1176"/>
      <c r="AA84" s="1648"/>
      <c r="AB84" s="582"/>
      <c r="AC84" s="582"/>
      <c r="AD84" s="582"/>
      <c r="AE84" s="582"/>
      <c r="AF84" s="1657">
        <v>11</v>
      </c>
    </row>
    <row s="1657" customFormat="1" customHeight="1" ht="11.549999999999999">
      <c r="A85" s="1003"/>
      <c r="B85" s="1652"/>
      <c r="C85" s="1652"/>
      <c r="D85" s="367"/>
      <c r="K85" s="1176"/>
      <c r="L85" s="1652"/>
      <c r="M85" s="1652"/>
      <c r="N85" s="1176"/>
      <c r="O85" s="1176"/>
      <c r="P85" s="1176"/>
      <c r="Q85" s="1176"/>
      <c r="R85" s="1652"/>
      <c r="S85" s="1176"/>
      <c r="T85" s="1176"/>
      <c r="U85" s="560"/>
      <c r="V85" s="1176"/>
      <c r="W85" s="1176"/>
      <c r="X85" s="1176"/>
      <c r="Y85" s="1176"/>
      <c r="Z85" s="1176"/>
      <c r="AA85" s="1648"/>
      <c r="AB85" s="582"/>
      <c r="AC85" s="582"/>
      <c r="AD85" s="582"/>
      <c r="AE85" s="582"/>
      <c r="AF85" s="1657">
        <v>11</v>
      </c>
    </row>
    <row s="1657" customFormat="1" customHeight="1" ht="11.549999999999999">
      <c r="A86" s="1003"/>
      <c r="B86" s="1652"/>
      <c r="C86" s="1652"/>
      <c r="D86" s="367"/>
      <c r="K86" s="1176"/>
      <c r="L86" s="1652"/>
      <c r="M86" s="1652"/>
      <c r="N86" s="1176"/>
      <c r="O86" s="1176"/>
      <c r="P86" s="1176"/>
      <c r="Q86" s="1176"/>
      <c r="R86" s="1652"/>
      <c r="S86" s="1176"/>
      <c r="T86" s="1176"/>
      <c r="U86" s="560"/>
      <c r="V86" s="1176"/>
      <c r="W86" s="1176"/>
      <c r="X86" s="1176"/>
      <c r="Y86" s="1176"/>
      <c r="Z86" s="1176"/>
      <c r="AA86" s="1648"/>
      <c r="AB86" s="582"/>
      <c r="AC86" s="582"/>
      <c r="AD86" s="582"/>
      <c r="AE86" s="582"/>
      <c r="AF86" s="1657">
        <v>11</v>
      </c>
    </row>
    <row s="1657" customFormat="1" customHeight="1" ht="11.549999999999999">
      <c r="A87" s="1003"/>
      <c r="B87" s="1652"/>
      <c r="C87" s="1652"/>
      <c r="D87" s="367"/>
      <c r="K87" s="1176"/>
      <c r="L87" s="1652"/>
      <c r="M87" s="1652"/>
      <c r="N87" s="1176"/>
      <c r="O87" s="1176"/>
      <c r="P87" s="1176"/>
      <c r="Q87" s="1176"/>
      <c r="R87" s="1652"/>
      <c r="S87" s="1176"/>
      <c r="T87" s="1176"/>
      <c r="U87" s="560"/>
      <c r="V87" s="1176"/>
      <c r="W87" s="1176"/>
      <c r="X87" s="1176"/>
      <c r="Y87" s="1176"/>
      <c r="Z87" s="1176"/>
      <c r="AA87" s="1648"/>
      <c r="AB87" s="582"/>
      <c r="AC87" s="582"/>
      <c r="AD87" s="582"/>
      <c r="AE87" s="582"/>
      <c r="AF87" s="1657">
        <v>11</v>
      </c>
    </row>
    <row s="1657" customFormat="1" customHeight="1" ht="11.549999999999999">
      <c r="A88" s="1003"/>
      <c r="B88" s="1652"/>
      <c r="C88" s="1652"/>
      <c r="D88" s="367"/>
      <c r="K88" s="1176"/>
      <c r="L88" s="1652"/>
      <c r="M88" s="1652"/>
      <c r="N88" s="1176"/>
      <c r="O88" s="1176"/>
      <c r="P88" s="1176"/>
      <c r="Q88" s="1176"/>
      <c r="R88" s="1652"/>
      <c r="S88" s="1176"/>
      <c r="T88" s="1176"/>
      <c r="U88" s="560"/>
      <c r="V88" s="1176"/>
      <c r="W88" s="1176"/>
      <c r="X88" s="1176"/>
      <c r="Y88" s="1176"/>
      <c r="Z88" s="1176"/>
      <c r="AA88" s="1648"/>
      <c r="AB88" s="582"/>
      <c r="AC88" s="582"/>
      <c r="AD88" s="582"/>
      <c r="AE88" s="582"/>
      <c r="AF88" s="1657">
        <v>11</v>
      </c>
    </row>
    <row s="1657" customFormat="1" customHeight="1" ht="11.549999999999999">
      <c r="A89" s="1003"/>
      <c r="B89" s="1652"/>
      <c r="C89" s="1652"/>
      <c r="D89" s="367"/>
      <c r="K89" s="1176"/>
      <c r="L89" s="1652"/>
      <c r="M89" s="1652"/>
      <c r="N89" s="1176"/>
      <c r="O89" s="1176"/>
      <c r="P89" s="1176"/>
      <c r="Q89" s="1176"/>
      <c r="R89" s="1652"/>
      <c r="S89" s="1176"/>
      <c r="T89" s="1176"/>
      <c r="U89" s="560"/>
      <c r="V89" s="1176"/>
      <c r="W89" s="1176"/>
      <c r="X89" s="1176"/>
      <c r="Y89" s="1176"/>
      <c r="Z89" s="1176"/>
      <c r="AA89" s="1648"/>
      <c r="AB89" s="582"/>
      <c r="AC89" s="582"/>
      <c r="AD89" s="582"/>
      <c r="AE89" s="582"/>
      <c r="AF89" s="1657">
        <v>11</v>
      </c>
    </row>
    <row s="1657" customFormat="1" customHeight="1" ht="11.549999999999999">
      <c r="A90" s="1003"/>
      <c r="B90" s="1652"/>
      <c r="C90" s="1652"/>
      <c r="D90" s="367"/>
      <c r="K90" s="1176"/>
      <c r="L90" s="1652"/>
      <c r="M90" s="1652"/>
      <c r="N90" s="1176"/>
      <c r="O90" s="1176"/>
      <c r="P90" s="1176"/>
      <c r="Q90" s="1176"/>
      <c r="R90" s="1652"/>
      <c r="S90" s="1176"/>
      <c r="T90" s="1176"/>
      <c r="U90" s="560"/>
      <c r="V90" s="1176"/>
      <c r="W90" s="1176"/>
      <c r="X90" s="1176"/>
      <c r="Y90" s="1176"/>
      <c r="Z90" s="1176"/>
      <c r="AA90" s="1648"/>
      <c r="AB90" s="582"/>
      <c r="AC90" s="582"/>
      <c r="AD90" s="582"/>
      <c r="AE90" s="582"/>
      <c r="AF90" s="1657">
        <v>11</v>
      </c>
    </row>
    <row s="1657" customFormat="1" customHeight="1" ht="11.549999999999999">
      <c r="A91" s="1003"/>
      <c r="B91" s="1652"/>
      <c r="C91" s="1652"/>
      <c r="D91" s="367"/>
      <c r="K91" s="1176"/>
      <c r="L91" s="1652"/>
      <c r="M91" s="1652"/>
      <c r="N91" s="1176"/>
      <c r="O91" s="1176"/>
      <c r="P91" s="1176"/>
      <c r="Q91" s="1176"/>
      <c r="R91" s="1652"/>
      <c r="S91" s="1176"/>
      <c r="T91" s="1176"/>
      <c r="U91" s="560"/>
      <c r="V91" s="1176"/>
      <c r="W91" s="1176"/>
      <c r="X91" s="1176"/>
      <c r="Y91" s="1176"/>
      <c r="Z91" s="1176"/>
      <c r="AA91" s="1648"/>
      <c r="AB91" s="582"/>
      <c r="AC91" s="582"/>
      <c r="AD91" s="582"/>
      <c r="AE91" s="582"/>
      <c r="AF91" s="1657">
        <v>11</v>
      </c>
    </row>
    <row s="1657" customFormat="1" customHeight="1" ht="11.549999999999999">
      <c r="A92" s="1003"/>
      <c r="B92" s="1652"/>
      <c r="C92" s="1652"/>
      <c r="D92" s="367"/>
      <c r="K92" s="1176"/>
      <c r="L92" s="1652"/>
      <c r="M92" s="1652"/>
      <c r="N92" s="1176"/>
      <c r="O92" s="1176"/>
      <c r="P92" s="1176"/>
      <c r="Q92" s="1176"/>
      <c r="R92" s="1652"/>
      <c r="S92" s="1176"/>
      <c r="T92" s="1176"/>
      <c r="U92" s="560"/>
      <c r="V92" s="1176"/>
      <c r="W92" s="1176"/>
      <c r="X92" s="1176"/>
      <c r="Y92" s="1176"/>
      <c r="Z92" s="1176"/>
      <c r="AA92" s="1648"/>
      <c r="AB92" s="582"/>
      <c r="AC92" s="582"/>
      <c r="AD92" s="582"/>
      <c r="AE92" s="582"/>
      <c r="AF92" s="1657">
        <v>11</v>
      </c>
    </row>
    <row s="1657" customFormat="1" customHeight="1" ht="11.549999999999999">
      <c r="A93" s="1003"/>
      <c r="B93" s="1652"/>
      <c r="C93" s="1652"/>
      <c r="D93" s="367"/>
      <c r="K93" s="1176"/>
      <c r="L93" s="1652"/>
      <c r="M93" s="1652"/>
      <c r="N93" s="1176"/>
      <c r="O93" s="1176"/>
      <c r="P93" s="1176"/>
      <c r="Q93" s="1176"/>
      <c r="R93" s="1652"/>
      <c r="S93" s="1176"/>
      <c r="T93" s="1176"/>
      <c r="U93" s="560"/>
      <c r="V93" s="1176"/>
      <c r="W93" s="1176"/>
      <c r="X93" s="1176"/>
      <c r="Y93" s="1176"/>
      <c r="Z93" s="1176"/>
      <c r="AA93" s="1648"/>
      <c r="AB93" s="582"/>
      <c r="AC93" s="582"/>
      <c r="AD93" s="582"/>
      <c r="AE93" s="582"/>
      <c r="AF93" s="1657">
        <v>11</v>
      </c>
    </row>
    <row s="1657" customFormat="1" customHeight="1" ht="11.549999999999999">
      <c r="A94" s="1003"/>
      <c r="B94" s="1652"/>
      <c r="C94" s="1652"/>
      <c r="D94" s="367"/>
      <c r="K94" s="1176"/>
      <c r="L94" s="1652"/>
      <c r="M94" s="1652"/>
      <c r="N94" s="1176"/>
      <c r="O94" s="1176"/>
      <c r="P94" s="1176"/>
      <c r="Q94" s="1176"/>
      <c r="R94" s="1652"/>
      <c r="S94" s="1176"/>
      <c r="T94" s="1176"/>
      <c r="U94" s="560"/>
      <c r="V94" s="1176"/>
      <c r="W94" s="1176"/>
      <c r="X94" s="1176"/>
      <c r="Y94" s="1176"/>
      <c r="Z94" s="1176"/>
      <c r="AA94" s="1648"/>
      <c r="AB94" s="582"/>
      <c r="AC94" s="582"/>
      <c r="AD94" s="582"/>
      <c r="AE94" s="582"/>
      <c r="AF94" s="1657">
        <v>11</v>
      </c>
    </row>
    <row s="1657" customFormat="1" customHeight="1" ht="11.549999999999999">
      <c r="A95" s="1003"/>
      <c r="B95" s="1652"/>
      <c r="C95" s="1652"/>
      <c r="D95" s="367"/>
      <c r="K95" s="1176"/>
      <c r="L95" s="1652"/>
      <c r="M95" s="1652"/>
      <c r="N95" s="1176"/>
      <c r="O95" s="1176"/>
      <c r="P95" s="1176"/>
      <c r="Q95" s="1176"/>
      <c r="R95" s="1652"/>
      <c r="S95" s="1176"/>
      <c r="T95" s="1176"/>
      <c r="U95" s="560"/>
      <c r="V95" s="1176"/>
      <c r="W95" s="1176"/>
      <c r="X95" s="1176"/>
      <c r="Y95" s="1176"/>
      <c r="Z95" s="1176"/>
      <c r="AA95" s="1648"/>
      <c r="AB95" s="582"/>
      <c r="AC95" s="582"/>
      <c r="AD95" s="582"/>
      <c r="AE95" s="582"/>
      <c r="AF95" s="1657">
        <v>11</v>
      </c>
    </row>
    <row s="1657" customFormat="1" customHeight="1" ht="11.549999999999999">
      <c r="A96" s="1003"/>
      <c r="B96" s="1652"/>
      <c r="C96" s="1652"/>
      <c r="D96" s="367"/>
      <c r="K96" s="1176"/>
      <c r="L96" s="1652"/>
      <c r="M96" s="1652"/>
      <c r="N96" s="1176"/>
      <c r="O96" s="1176"/>
      <c r="P96" s="1176"/>
      <c r="Q96" s="1176"/>
      <c r="R96" s="1652"/>
      <c r="S96" s="1176"/>
      <c r="T96" s="1176"/>
      <c r="U96" s="560"/>
      <c r="V96" s="1176"/>
      <c r="W96" s="1176"/>
      <c r="X96" s="1176"/>
      <c r="Y96" s="1176"/>
      <c r="Z96" s="1176"/>
      <c r="AA96" s="1648"/>
      <c r="AB96" s="582"/>
      <c r="AC96" s="582"/>
      <c r="AD96" s="582"/>
      <c r="AE96" s="582"/>
      <c r="AF96" s="1657">
        <v>11</v>
      </c>
    </row>
    <row s="1657" customFormat="1" customHeight="1" ht="11.549999999999999">
      <c r="A97" s="1003"/>
      <c r="B97" s="1652"/>
      <c r="C97" s="1652"/>
      <c r="D97" s="367"/>
      <c r="K97" s="1176"/>
      <c r="L97" s="1652"/>
      <c r="M97" s="1652"/>
      <c r="N97" s="1176"/>
      <c r="O97" s="1176"/>
      <c r="P97" s="1176"/>
      <c r="Q97" s="1176"/>
      <c r="R97" s="1652"/>
      <c r="S97" s="1176"/>
      <c r="T97" s="1176"/>
      <c r="U97" s="560"/>
      <c r="V97" s="1176"/>
      <c r="W97" s="1176"/>
      <c r="X97" s="1176"/>
      <c r="Y97" s="1176"/>
      <c r="Z97" s="1176"/>
      <c r="AA97" s="1648"/>
      <c r="AB97" s="582"/>
      <c r="AC97" s="582"/>
      <c r="AD97" s="582"/>
      <c r="AE97" s="582"/>
      <c r="AF97" s="1657">
        <v>11</v>
      </c>
    </row>
    <row s="1657" customFormat="1" customHeight="1" ht="11.549999999999999">
      <c r="A98" s="1003"/>
      <c r="B98" s="1652"/>
      <c r="C98" s="1652"/>
      <c r="D98" s="367"/>
      <c r="K98" s="1176"/>
      <c r="L98" s="1652"/>
      <c r="M98" s="1652"/>
      <c r="N98" s="1176"/>
      <c r="O98" s="1176"/>
      <c r="P98" s="1176"/>
      <c r="Q98" s="1176"/>
      <c r="R98" s="1652"/>
      <c r="S98" s="1176"/>
      <c r="T98" s="1176"/>
      <c r="U98" s="560"/>
      <c r="V98" s="1176"/>
      <c r="W98" s="1176"/>
      <c r="X98" s="1176"/>
      <c r="Y98" s="1176"/>
      <c r="Z98" s="1176"/>
      <c r="AA98" s="1648"/>
      <c r="AB98" s="582"/>
      <c r="AC98" s="582"/>
      <c r="AD98" s="582"/>
      <c r="AE98" s="582"/>
      <c r="AF98" s="1657">
        <v>11</v>
      </c>
    </row>
    <row s="1657" customFormat="1" customHeight="1" ht="11.549999999999999">
      <c r="A99" s="1003"/>
      <c r="B99" s="1652"/>
      <c r="C99" s="1652"/>
      <c r="D99" s="367"/>
      <c r="K99" s="1176"/>
      <c r="L99" s="1652"/>
      <c r="M99" s="1652"/>
      <c r="N99" s="1176"/>
      <c r="O99" s="1176"/>
      <c r="P99" s="1176"/>
      <c r="Q99" s="1176"/>
      <c r="R99" s="1652"/>
      <c r="S99" s="1176"/>
      <c r="T99" s="1176"/>
      <c r="U99" s="560"/>
      <c r="V99" s="1176"/>
      <c r="W99" s="1176"/>
      <c r="X99" s="1176"/>
      <c r="Y99" s="1176"/>
      <c r="Z99" s="1176"/>
      <c r="AA99" s="1648"/>
      <c r="AB99" s="582"/>
      <c r="AC99" s="582"/>
      <c r="AD99" s="582"/>
      <c r="AE99" s="582"/>
      <c r="AF99" s="1657">
        <v>11</v>
      </c>
    </row>
    <row s="1657" customFormat="1" customHeight="1" ht="11.549999999999999">
      <c r="A100" s="1003"/>
      <c r="B100" s="1652"/>
      <c r="C100" s="1652"/>
      <c r="D100" s="367"/>
      <c r="K100" s="1176"/>
      <c r="L100" s="1652"/>
      <c r="M100" s="1652"/>
      <c r="N100" s="1176"/>
      <c r="O100" s="1176"/>
      <c r="P100" s="1176"/>
      <c r="Q100" s="1176"/>
      <c r="R100" s="1652"/>
      <c r="S100" s="1176"/>
      <c r="T100" s="1176"/>
      <c r="U100" s="560"/>
      <c r="V100" s="1176"/>
      <c r="W100" s="1176"/>
      <c r="X100" s="1176"/>
      <c r="Y100" s="1176"/>
      <c r="Z100" s="1176"/>
      <c r="AA100" s="1648"/>
      <c r="AB100" s="582"/>
      <c r="AC100" s="582"/>
      <c r="AD100" s="582"/>
      <c r="AE100" s="582"/>
      <c r="AF100" s="1657">
        <v>11</v>
      </c>
    </row>
    <row s="1657" customFormat="1" customHeight="1" ht="11.549999999999999">
      <c r="A101" s="1003"/>
      <c r="B101" s="1652"/>
      <c r="C101" s="1652"/>
      <c r="D101" s="367"/>
      <c r="K101" s="1176"/>
      <c r="L101" s="1652"/>
      <c r="M101" s="1652"/>
      <c r="N101" s="1176"/>
      <c r="O101" s="1176"/>
      <c r="P101" s="1176"/>
      <c r="Q101" s="1176"/>
      <c r="R101" s="1652"/>
      <c r="S101" s="1176"/>
      <c r="T101" s="1176"/>
      <c r="U101" s="560"/>
      <c r="V101" s="1176"/>
      <c r="W101" s="1176"/>
      <c r="X101" s="1176"/>
      <c r="Y101" s="1176"/>
      <c r="Z101" s="1176"/>
      <c r="AA101" s="1648"/>
      <c r="AB101" s="582"/>
      <c r="AC101" s="582"/>
      <c r="AD101" s="582"/>
      <c r="AE101" s="582"/>
      <c r="AF101" s="1657">
        <v>11</v>
      </c>
    </row>
    <row s="1657" customFormat="1" customHeight="1" ht="11.549999999999999">
      <c r="A102" s="1003"/>
      <c r="B102" s="1652"/>
      <c r="C102" s="1652"/>
      <c r="D102" s="367"/>
      <c r="K102" s="1176"/>
      <c r="L102" s="1652"/>
      <c r="M102" s="1652"/>
      <c r="N102" s="1176"/>
      <c r="O102" s="1176"/>
      <c r="P102" s="1176"/>
      <c r="Q102" s="1176"/>
      <c r="R102" s="1652"/>
      <c r="S102" s="1176"/>
      <c r="T102" s="1176"/>
      <c r="U102" s="560"/>
      <c r="V102" s="1176"/>
      <c r="W102" s="1176"/>
      <c r="X102" s="1176"/>
      <c r="Y102" s="1176"/>
      <c r="Z102" s="1176"/>
      <c r="AA102" s="1648"/>
      <c r="AB102" s="582"/>
      <c r="AC102" s="582"/>
      <c r="AD102" s="582"/>
      <c r="AE102" s="582"/>
      <c r="AF102" s="1657">
        <v>11</v>
      </c>
    </row>
    <row s="1657" customFormat="1" customHeight="1" ht="11.549999999999999">
      <c r="A103" s="1003"/>
      <c r="B103" s="1652"/>
      <c r="C103" s="1652"/>
      <c r="D103" s="367"/>
      <c r="K103" s="1176"/>
      <c r="L103" s="1652"/>
      <c r="M103" s="1652"/>
      <c r="N103" s="1176"/>
      <c r="O103" s="1176"/>
      <c r="P103" s="1176"/>
      <c r="Q103" s="1176"/>
      <c r="R103" s="1652"/>
      <c r="S103" s="1176"/>
      <c r="T103" s="1176"/>
      <c r="U103" s="560"/>
      <c r="V103" s="1176"/>
      <c r="W103" s="1176"/>
      <c r="X103" s="1176"/>
      <c r="Y103" s="1176"/>
      <c r="Z103" s="1176"/>
      <c r="AA103" s="1648"/>
      <c r="AB103" s="582"/>
      <c r="AC103" s="582"/>
      <c r="AD103" s="582"/>
      <c r="AE103" s="582"/>
      <c r="AF103" s="1657">
        <v>11</v>
      </c>
    </row>
    <row s="1657" customFormat="1" customHeight="1" ht="11.549999999999999">
      <c r="A104" s="1003"/>
      <c r="B104" s="1652"/>
      <c r="C104" s="1652"/>
      <c r="D104" s="367"/>
      <c r="K104" s="1176"/>
      <c r="L104" s="1652"/>
      <c r="M104" s="1652"/>
      <c r="N104" s="1176"/>
      <c r="O104" s="1176"/>
      <c r="P104" s="1176"/>
      <c r="Q104" s="1176"/>
      <c r="R104" s="1652"/>
      <c r="S104" s="1176"/>
      <c r="T104" s="1176"/>
      <c r="U104" s="560"/>
      <c r="V104" s="1176"/>
      <c r="W104" s="1176"/>
      <c r="X104" s="1176"/>
      <c r="Y104" s="1176"/>
      <c r="Z104" s="1176"/>
      <c r="AA104" s="1648"/>
      <c r="AB104" s="582"/>
      <c r="AC104" s="582"/>
      <c r="AD104" s="582"/>
      <c r="AE104" s="582"/>
      <c r="AF104" s="1657">
        <v>11</v>
      </c>
    </row>
    <row s="1657" customFormat="1" customHeight="1" ht="11.549999999999999">
      <c r="A105" s="1003"/>
      <c r="B105" s="1652"/>
      <c r="C105" s="1652"/>
      <c r="D105" s="367"/>
      <c r="K105" s="1176"/>
      <c r="L105" s="1652"/>
      <c r="M105" s="1652"/>
      <c r="N105" s="1176"/>
      <c r="O105" s="1176"/>
      <c r="P105" s="1176"/>
      <c r="Q105" s="1176"/>
      <c r="R105" s="1652"/>
      <c r="S105" s="1176"/>
      <c r="T105" s="1176"/>
      <c r="U105" s="560"/>
      <c r="V105" s="1176"/>
      <c r="W105" s="1176"/>
      <c r="X105" s="1176"/>
      <c r="Y105" s="1176"/>
      <c r="Z105" s="1176"/>
      <c r="AA105" s="1648"/>
      <c r="AB105" s="582"/>
      <c r="AC105" s="582"/>
      <c r="AD105" s="582"/>
      <c r="AE105" s="582"/>
      <c r="AF105" s="1657">
        <v>11</v>
      </c>
    </row>
    <row s="1657" customFormat="1" customHeight="1" ht="11.549999999999999">
      <c r="A106" s="1003"/>
      <c r="B106" s="1652"/>
      <c r="C106" s="1652"/>
      <c r="D106" s="367"/>
      <c r="K106" s="1176"/>
      <c r="L106" s="1652"/>
      <c r="M106" s="1652"/>
      <c r="N106" s="1176"/>
      <c r="O106" s="1176"/>
      <c r="P106" s="1176"/>
      <c r="Q106" s="1176"/>
      <c r="R106" s="1652"/>
      <c r="S106" s="1176"/>
      <c r="T106" s="1176"/>
      <c r="U106" s="560"/>
      <c r="V106" s="1176"/>
      <c r="W106" s="1176"/>
      <c r="X106" s="1176"/>
      <c r="Y106" s="1176"/>
      <c r="Z106" s="1176"/>
      <c r="AA106" s="1648"/>
      <c r="AB106" s="582"/>
      <c r="AC106" s="582"/>
      <c r="AD106" s="582"/>
      <c r="AE106" s="582"/>
      <c r="AF106" s="1657">
        <v>11</v>
      </c>
    </row>
    <row s="1657" customFormat="1" customHeight="1" ht="11.549999999999999">
      <c r="A107" s="1003"/>
      <c r="B107" s="1652"/>
      <c r="C107" s="1652"/>
      <c r="D107" s="367"/>
      <c r="K107" s="1176"/>
      <c r="L107" s="1652"/>
      <c r="M107" s="1652"/>
      <c r="N107" s="1176"/>
      <c r="O107" s="1176"/>
      <c r="P107" s="1176"/>
      <c r="Q107" s="1176"/>
      <c r="R107" s="1652"/>
      <c r="S107" s="1176"/>
      <c r="T107" s="1176"/>
      <c r="U107" s="560"/>
      <c r="V107" s="1176"/>
      <c r="W107" s="1176"/>
      <c r="X107" s="1176"/>
      <c r="Y107" s="1176"/>
      <c r="Z107" s="1176"/>
      <c r="AA107" s="1648"/>
      <c r="AB107" s="582"/>
      <c r="AC107" s="582"/>
      <c r="AD107" s="582"/>
      <c r="AE107" s="582"/>
      <c r="AF107" s="1657">
        <v>11</v>
      </c>
    </row>
    <row s="1657" customFormat="1" customHeight="1" ht="11.549999999999999">
      <c r="A108" s="1003"/>
      <c r="B108" s="1652"/>
      <c r="C108" s="1652"/>
      <c r="D108" s="367"/>
      <c r="K108" s="1176"/>
      <c r="L108" s="1652"/>
      <c r="M108" s="1652"/>
      <c r="N108" s="1176"/>
      <c r="O108" s="1176"/>
      <c r="P108" s="1176"/>
      <c r="Q108" s="1176"/>
      <c r="R108" s="1652"/>
      <c r="S108" s="1176"/>
      <c r="T108" s="1176"/>
      <c r="U108" s="560"/>
      <c r="V108" s="1176"/>
      <c r="W108" s="1176"/>
      <c r="X108" s="1176"/>
      <c r="Y108" s="1176"/>
      <c r="Z108" s="1176"/>
      <c r="AA108" s="1648"/>
      <c r="AB108" s="582"/>
      <c r="AC108" s="582"/>
      <c r="AD108" s="582"/>
      <c r="AE108" s="582"/>
      <c r="AF108" s="1657">
        <v>11</v>
      </c>
    </row>
    <row s="1657" customFormat="1" customHeight="1" ht="11.549999999999999">
      <c r="A109" s="1003"/>
      <c r="B109" s="1652"/>
      <c r="C109" s="1652"/>
      <c r="D109" s="367"/>
      <c r="K109" s="1176"/>
      <c r="L109" s="1652"/>
      <c r="M109" s="1652"/>
      <c r="N109" s="1176"/>
      <c r="O109" s="1176"/>
      <c r="P109" s="1176"/>
      <c r="Q109" s="1176"/>
      <c r="R109" s="1652"/>
      <c r="S109" s="1176"/>
      <c r="T109" s="1176"/>
      <c r="U109" s="560"/>
      <c r="V109" s="1176"/>
      <c r="W109" s="1176"/>
      <c r="X109" s="1176"/>
      <c r="Y109" s="1176"/>
      <c r="Z109" s="1176"/>
      <c r="AA109" s="1648"/>
      <c r="AB109" s="582"/>
      <c r="AC109" s="582"/>
      <c r="AD109" s="582"/>
      <c r="AE109" s="582"/>
      <c r="AF109" s="1657">
        <v>11</v>
      </c>
    </row>
    <row s="1657" customFormat="1" customHeight="1" ht="11.549999999999999">
      <c r="A110" s="1003"/>
      <c r="B110" s="1652"/>
      <c r="C110" s="1652"/>
      <c r="D110" s="367"/>
      <c r="K110" s="1176"/>
      <c r="L110" s="1652"/>
      <c r="M110" s="1652"/>
      <c r="N110" s="1176"/>
      <c r="O110" s="1176"/>
      <c r="P110" s="1176"/>
      <c r="Q110" s="1176"/>
      <c r="R110" s="1652"/>
      <c r="S110" s="1176"/>
      <c r="T110" s="1176"/>
      <c r="U110" s="560"/>
      <c r="V110" s="1176"/>
      <c r="W110" s="1176"/>
      <c r="X110" s="1176"/>
      <c r="Y110" s="1176"/>
      <c r="Z110" s="1176"/>
      <c r="AA110" s="1648"/>
      <c r="AB110" s="582"/>
      <c r="AC110" s="582"/>
      <c r="AD110" s="582"/>
      <c r="AE110" s="582"/>
      <c r="AF110" s="1657">
        <v>11</v>
      </c>
    </row>
    <row s="1657" customFormat="1" customHeight="1" ht="11.549999999999999">
      <c r="A111" s="1003"/>
      <c r="B111" s="1652"/>
      <c r="C111" s="1652"/>
      <c r="D111" s="367"/>
      <c r="K111" s="1176"/>
      <c r="L111" s="1652"/>
      <c r="M111" s="1652"/>
      <c r="N111" s="1176"/>
      <c r="O111" s="1176"/>
      <c r="P111" s="1176"/>
      <c r="Q111" s="1176"/>
      <c r="R111" s="1652"/>
      <c r="S111" s="1176"/>
      <c r="T111" s="1176"/>
      <c r="U111" s="560"/>
      <c r="V111" s="1176"/>
      <c r="W111" s="1176"/>
      <c r="X111" s="1176"/>
      <c r="Y111" s="1176"/>
      <c r="Z111" s="1176"/>
      <c r="AA111" s="1648"/>
      <c r="AB111" s="582"/>
      <c r="AC111" s="582"/>
      <c r="AD111" s="582"/>
      <c r="AE111" s="582"/>
      <c r="AF111" s="1657">
        <v>11</v>
      </c>
    </row>
    <row s="1657" customFormat="1" customHeight="1" ht="11.549999999999999">
      <c r="A112" s="1003"/>
      <c r="B112" s="1652"/>
      <c r="C112" s="1652"/>
      <c r="D112" s="367"/>
      <c r="K112" s="1176"/>
      <c r="L112" s="1652"/>
      <c r="M112" s="1652"/>
      <c r="N112" s="1176"/>
      <c r="O112" s="1176"/>
      <c r="P112" s="1176"/>
      <c r="Q112" s="1176"/>
      <c r="R112" s="1652"/>
      <c r="S112" s="1176"/>
      <c r="T112" s="1176"/>
      <c r="U112" s="560"/>
      <c r="V112" s="1176"/>
      <c r="W112" s="1176"/>
      <c r="X112" s="1176"/>
      <c r="Y112" s="1176"/>
      <c r="Z112" s="1176"/>
      <c r="AA112" s="1648"/>
      <c r="AB112" s="582"/>
      <c r="AC112" s="582"/>
      <c r="AD112" s="582"/>
      <c r="AE112" s="582"/>
      <c r="AF112" s="1657">
        <v>11</v>
      </c>
    </row>
    <row s="1657" customFormat="1" customHeight="1" ht="11.549999999999999">
      <c r="A113" s="1003"/>
      <c r="B113" s="1652"/>
      <c r="C113" s="1652"/>
      <c r="D113" s="367"/>
      <c r="K113" s="1176"/>
      <c r="L113" s="1652"/>
      <c r="M113" s="1652"/>
      <c r="N113" s="1176"/>
      <c r="O113" s="1176"/>
      <c r="P113" s="1176"/>
      <c r="Q113" s="1176"/>
      <c r="R113" s="1652"/>
      <c r="S113" s="1176"/>
      <c r="T113" s="1176"/>
      <c r="U113" s="560"/>
      <c r="V113" s="1176"/>
      <c r="W113" s="1176"/>
      <c r="X113" s="1176"/>
      <c r="Y113" s="1176"/>
      <c r="Z113" s="1176"/>
      <c r="AA113" s="1648"/>
      <c r="AB113" s="582"/>
      <c r="AC113" s="582"/>
      <c r="AD113" s="582"/>
      <c r="AE113" s="582"/>
      <c r="AF113" s="1657">
        <v>11</v>
      </c>
    </row>
    <row s="1657" customFormat="1" customHeight="1" ht="11.549999999999999">
      <c r="A114" s="1003"/>
      <c r="B114" s="1652"/>
      <c r="C114" s="1652"/>
      <c r="D114" s="367"/>
      <c r="K114" s="1176"/>
      <c r="L114" s="1652"/>
      <c r="M114" s="1652"/>
      <c r="N114" s="1176"/>
      <c r="O114" s="1176"/>
      <c r="P114" s="1176"/>
      <c r="Q114" s="1176"/>
      <c r="R114" s="1652"/>
      <c r="S114" s="1176"/>
      <c r="T114" s="1176"/>
      <c r="U114" s="560"/>
      <c r="V114" s="1176"/>
      <c r="W114" s="1176"/>
      <c r="X114" s="1176"/>
      <c r="Y114" s="1176"/>
      <c r="Z114" s="1176"/>
      <c r="AA114" s="1648"/>
      <c r="AB114" s="582"/>
      <c r="AC114" s="582"/>
      <c r="AD114" s="582"/>
      <c r="AE114" s="582"/>
      <c r="AF114" s="1657">
        <v>11</v>
      </c>
    </row>
    <row s="1657" customFormat="1" customHeight="1" ht="11.549999999999999">
      <c r="A115" s="1003"/>
      <c r="B115" s="1652"/>
      <c r="C115" s="1652"/>
      <c r="D115" s="367"/>
      <c r="K115" s="1176"/>
      <c r="L115" s="1652"/>
      <c r="M115" s="1652"/>
      <c r="N115" s="1176"/>
      <c r="O115" s="1176"/>
      <c r="P115" s="1176"/>
      <c r="Q115" s="1176"/>
      <c r="R115" s="1652"/>
      <c r="S115" s="1176"/>
      <c r="T115" s="1176"/>
      <c r="U115" s="560"/>
      <c r="V115" s="1176"/>
      <c r="W115" s="1176"/>
      <c r="X115" s="1176"/>
      <c r="Y115" s="1176"/>
      <c r="Z115" s="1176"/>
      <c r="AA115" s="1648"/>
      <c r="AB115" s="582"/>
      <c r="AC115" s="582"/>
      <c r="AD115" s="582"/>
      <c r="AE115" s="582"/>
      <c r="AF115" s="1657">
        <v>11</v>
      </c>
    </row>
    <row s="1657" customFormat="1" customHeight="1" ht="11.549999999999999">
      <c r="A116" s="1003"/>
      <c r="B116" s="1652"/>
      <c r="C116" s="1652"/>
      <c r="D116" s="367"/>
      <c r="K116" s="1176"/>
      <c r="L116" s="1652"/>
      <c r="M116" s="1652"/>
      <c r="N116" s="1176"/>
      <c r="O116" s="1176"/>
      <c r="P116" s="1176"/>
      <c r="Q116" s="1176"/>
      <c r="R116" s="1652"/>
      <c r="S116" s="1176"/>
      <c r="T116" s="1176"/>
      <c r="U116" s="560"/>
      <c r="V116" s="1176"/>
      <c r="W116" s="1176"/>
      <c r="X116" s="1176"/>
      <c r="Y116" s="1176"/>
      <c r="Z116" s="1176"/>
      <c r="AA116" s="1648"/>
      <c r="AB116" s="582"/>
      <c r="AC116" s="582"/>
      <c r="AD116" s="582"/>
      <c r="AE116" s="582"/>
      <c r="AF116" s="1657">
        <v>11</v>
      </c>
    </row>
    <row s="1657" customFormat="1" customHeight="1" ht="11.549999999999999">
      <c r="A117" s="1003"/>
      <c r="B117" s="1652"/>
      <c r="C117" s="1652"/>
      <c r="D117" s="367"/>
      <c r="K117" s="1176"/>
      <c r="L117" s="1652"/>
      <c r="M117" s="1652"/>
      <c r="N117" s="1176"/>
      <c r="O117" s="1176"/>
      <c r="P117" s="1176"/>
      <c r="Q117" s="1176"/>
      <c r="R117" s="1652"/>
      <c r="S117" s="1176"/>
      <c r="T117" s="1176"/>
      <c r="U117" s="560"/>
      <c r="V117" s="1176"/>
      <c r="W117" s="1176"/>
      <c r="X117" s="1176"/>
      <c r="Y117" s="1176"/>
      <c r="Z117" s="1176"/>
      <c r="AA117" s="1648"/>
      <c r="AB117" s="582"/>
      <c r="AC117" s="582"/>
      <c r="AD117" s="582"/>
      <c r="AE117" s="582"/>
      <c r="AF117" s="1657">
        <v>11</v>
      </c>
    </row>
    <row s="1657" customFormat="1" customHeight="1" ht="11.549999999999999">
      <c r="A118" s="1003"/>
      <c r="B118" s="1652"/>
      <c r="C118" s="1652"/>
      <c r="D118" s="367"/>
      <c r="K118" s="1176"/>
      <c r="L118" s="1652"/>
      <c r="M118" s="1652"/>
      <c r="N118" s="1176"/>
      <c r="O118" s="1176"/>
      <c r="P118" s="1176"/>
      <c r="Q118" s="1176"/>
      <c r="R118" s="1652"/>
      <c r="S118" s="1176"/>
      <c r="T118" s="1176"/>
      <c r="U118" s="560"/>
      <c r="V118" s="1176"/>
      <c r="W118" s="1176"/>
      <c r="X118" s="1176"/>
      <c r="Y118" s="1176"/>
      <c r="Z118" s="1176"/>
      <c r="AA118" s="1648"/>
      <c r="AB118" s="582"/>
      <c r="AC118" s="582"/>
      <c r="AD118" s="582"/>
      <c r="AE118" s="582"/>
      <c r="AF118" s="1657">
        <v>11</v>
      </c>
    </row>
    <row s="1657" customFormat="1" customHeight="1" ht="11.549999999999999">
      <c r="A119" s="1003"/>
      <c r="B119" s="1652"/>
      <c r="C119" s="1652"/>
      <c r="D119" s="367"/>
      <c r="K119" s="1176"/>
      <c r="L119" s="1652"/>
      <c r="M119" s="1652"/>
      <c r="N119" s="1176"/>
      <c r="O119" s="1176"/>
      <c r="P119" s="1176"/>
      <c r="Q119" s="1176"/>
      <c r="R119" s="1652"/>
      <c r="S119" s="1176"/>
      <c r="T119" s="1176"/>
      <c r="U119" s="560"/>
      <c r="V119" s="1176"/>
      <c r="W119" s="1176"/>
      <c r="X119" s="1176"/>
      <c r="Y119" s="1176"/>
      <c r="Z119" s="1176"/>
      <c r="AA119" s="1648"/>
      <c r="AB119" s="582"/>
      <c r="AC119" s="582"/>
      <c r="AD119" s="582"/>
      <c r="AE119" s="582"/>
      <c r="AF119" s="1657">
        <v>11</v>
      </c>
    </row>
    <row s="1657" customFormat="1" customHeight="1" ht="11.549999999999999">
      <c r="A120" s="1003"/>
      <c r="B120" s="1652"/>
      <c r="C120" s="1652"/>
      <c r="D120" s="367"/>
      <c r="K120" s="1176"/>
      <c r="L120" s="1652"/>
      <c r="M120" s="1652"/>
      <c r="N120" s="1176"/>
      <c r="O120" s="1176"/>
      <c r="P120" s="1176"/>
      <c r="Q120" s="1176"/>
      <c r="R120" s="1652"/>
      <c r="S120" s="1176"/>
      <c r="T120" s="1176"/>
      <c r="U120" s="560"/>
      <c r="V120" s="1176"/>
      <c r="W120" s="1176"/>
      <c r="X120" s="1176"/>
      <c r="Y120" s="1176"/>
      <c r="Z120" s="1176"/>
      <c r="AA120" s="1648"/>
      <c r="AB120" s="582"/>
      <c r="AC120" s="582"/>
      <c r="AD120" s="582"/>
      <c r="AE120" s="582"/>
      <c r="AF120" s="1657">
        <v>11</v>
      </c>
    </row>
    <row s="1657" customFormat="1" customHeight="1" ht="11.549999999999999">
      <c r="A121" s="1003"/>
      <c r="B121" s="1652"/>
      <c r="C121" s="1652"/>
      <c r="D121" s="367"/>
      <c r="K121" s="1176"/>
      <c r="L121" s="1652"/>
      <c r="M121" s="1652"/>
      <c r="N121" s="1176"/>
      <c r="O121" s="1176"/>
      <c r="P121" s="1176"/>
      <c r="Q121" s="1176"/>
      <c r="R121" s="1652"/>
      <c r="S121" s="1176"/>
      <c r="T121" s="1176"/>
      <c r="U121" s="560"/>
      <c r="V121" s="1176"/>
      <c r="W121" s="1176"/>
      <c r="X121" s="1176"/>
      <c r="Y121" s="1176"/>
      <c r="Z121" s="1176"/>
      <c r="AA121" s="1648"/>
      <c r="AB121" s="582"/>
      <c r="AC121" s="582"/>
      <c r="AD121" s="582"/>
      <c r="AE121" s="582"/>
      <c r="AF121" s="1657">
        <v>11</v>
      </c>
    </row>
    <row s="1657" customFormat="1" customHeight="1" ht="11.549999999999999">
      <c r="A122" s="1003"/>
      <c r="B122" s="1652"/>
      <c r="C122" s="1652"/>
      <c r="D122" s="367"/>
      <c r="K122" s="1176"/>
      <c r="L122" s="1652"/>
      <c r="M122" s="1652"/>
      <c r="N122" s="1176"/>
      <c r="O122" s="1176"/>
      <c r="P122" s="1176"/>
      <c r="Q122" s="1176"/>
      <c r="R122" s="1652"/>
      <c r="S122" s="1176"/>
      <c r="T122" s="1176"/>
      <c r="U122" s="560"/>
      <c r="V122" s="1176"/>
      <c r="W122" s="1176"/>
      <c r="X122" s="1176"/>
      <c r="Y122" s="1176"/>
      <c r="Z122" s="1176"/>
      <c r="AA122" s="1648"/>
      <c r="AB122" s="582"/>
      <c r="AC122" s="582"/>
      <c r="AD122" s="582"/>
      <c r="AE122" s="582"/>
      <c r="AF122" s="1657">
        <v>11</v>
      </c>
    </row>
    <row s="1657" customFormat="1" customHeight="1" ht="11.549999999999999">
      <c r="A123" s="1003"/>
      <c r="B123" s="1652"/>
      <c r="C123" s="1652"/>
      <c r="D123" s="367"/>
      <c r="K123" s="1176"/>
      <c r="L123" s="1652"/>
      <c r="M123" s="1652"/>
      <c r="N123" s="1176"/>
      <c r="O123" s="1176"/>
      <c r="P123" s="1176"/>
      <c r="Q123" s="1176"/>
      <c r="R123" s="1652"/>
      <c r="S123" s="1176"/>
      <c r="T123" s="1176"/>
      <c r="U123" s="560"/>
      <c r="V123" s="1176"/>
      <c r="W123" s="1176"/>
      <c r="X123" s="1176"/>
      <c r="Y123" s="1176"/>
      <c r="Z123" s="1176"/>
      <c r="AA123" s="1648"/>
      <c r="AB123" s="582"/>
      <c r="AC123" s="582"/>
      <c r="AD123" s="582"/>
      <c r="AE123" s="582"/>
      <c r="AF123" s="1657">
        <v>11</v>
      </c>
    </row>
    <row s="1657" customFormat="1" customHeight="1" ht="11.549999999999999">
      <c r="A124" s="1003"/>
      <c r="B124" s="1652"/>
      <c r="C124" s="1652"/>
      <c r="D124" s="367"/>
      <c r="K124" s="1176"/>
      <c r="L124" s="1652"/>
      <c r="M124" s="1652"/>
      <c r="N124" s="1176"/>
      <c r="O124" s="1176"/>
      <c r="P124" s="1176"/>
      <c r="Q124" s="1176"/>
      <c r="R124" s="1652"/>
      <c r="S124" s="1176"/>
      <c r="T124" s="1176"/>
      <c r="U124" s="560"/>
      <c r="V124" s="1176"/>
      <c r="W124" s="1176"/>
      <c r="X124" s="1176"/>
      <c r="Y124" s="1176"/>
      <c r="Z124" s="1176"/>
      <c r="AA124" s="1648"/>
      <c r="AB124" s="582"/>
      <c r="AC124" s="582"/>
      <c r="AD124" s="582"/>
      <c r="AE124" s="582"/>
      <c r="AF124" s="1657">
        <v>11</v>
      </c>
    </row>
    <row s="1657" customFormat="1" customHeight="1" ht="11.549999999999999">
      <c r="A125" s="1003"/>
      <c r="B125" s="1652"/>
      <c r="C125" s="1652"/>
      <c r="D125" s="367"/>
      <c r="K125" s="1176"/>
      <c r="L125" s="1652"/>
      <c r="M125" s="1652"/>
      <c r="N125" s="1176"/>
      <c r="O125" s="1176"/>
      <c r="P125" s="1176"/>
      <c r="Q125" s="1176"/>
      <c r="R125" s="1652"/>
      <c r="S125" s="1176"/>
      <c r="T125" s="1176"/>
      <c r="U125" s="560"/>
      <c r="V125" s="1176"/>
      <c r="W125" s="1176"/>
      <c r="X125" s="1176"/>
      <c r="Y125" s="1176"/>
      <c r="Z125" s="1176"/>
      <c r="AA125" s="1648"/>
      <c r="AB125" s="582"/>
      <c r="AC125" s="582"/>
      <c r="AD125" s="582"/>
      <c r="AE125" s="582"/>
      <c r="AF125" s="1657">
        <v>11</v>
      </c>
    </row>
    <row s="1657" customFormat="1" customHeight="1" ht="11.549999999999999">
      <c r="A126" s="1003"/>
      <c r="B126" s="1652"/>
      <c r="C126" s="1652"/>
      <c r="D126" s="367"/>
      <c r="K126" s="1176"/>
      <c r="L126" s="1652"/>
      <c r="M126" s="1652"/>
      <c r="N126" s="1176"/>
      <c r="O126" s="1176"/>
      <c r="P126" s="1176"/>
      <c r="Q126" s="1176"/>
      <c r="R126" s="1652"/>
      <c r="S126" s="1176"/>
      <c r="T126" s="1176"/>
      <c r="U126" s="560"/>
      <c r="V126" s="1176"/>
      <c r="W126" s="1176"/>
      <c r="X126" s="1176"/>
      <c r="Y126" s="1176"/>
      <c r="Z126" s="1176"/>
      <c r="AA126" s="1648"/>
      <c r="AB126" s="582"/>
      <c r="AC126" s="582"/>
      <c r="AD126" s="582"/>
      <c r="AE126" s="582"/>
      <c r="AF126" s="1657">
        <v>11</v>
      </c>
    </row>
    <row s="1657" customFormat="1" customHeight="1" ht="11.549999999999999">
      <c r="A127" s="1003"/>
      <c r="B127" s="1652"/>
      <c r="C127" s="1652"/>
      <c r="D127" s="367"/>
      <c r="K127" s="1176"/>
      <c r="L127" s="1652"/>
      <c r="M127" s="1652"/>
      <c r="N127" s="1176"/>
      <c r="O127" s="1176"/>
      <c r="P127" s="1176"/>
      <c r="Q127" s="1176"/>
      <c r="R127" s="1652"/>
      <c r="S127" s="1176"/>
      <c r="T127" s="1176"/>
      <c r="U127" s="560"/>
      <c r="V127" s="1176"/>
      <c r="W127" s="1176"/>
      <c r="X127" s="1176"/>
      <c r="Y127" s="1176"/>
      <c r="Z127" s="1176"/>
      <c r="AA127" s="1648"/>
      <c r="AB127" s="582"/>
      <c r="AC127" s="582"/>
      <c r="AD127" s="582"/>
      <c r="AE127" s="582"/>
      <c r="AF127" s="1657">
        <v>11</v>
      </c>
    </row>
    <row s="1657" customFormat="1" customHeight="1" ht="11.549999999999999">
      <c r="A128" s="1003"/>
      <c r="B128" s="1652"/>
      <c r="C128" s="1652"/>
      <c r="D128" s="367"/>
      <c r="K128" s="1176"/>
      <c r="L128" s="1652"/>
      <c r="M128" s="1652"/>
      <c r="N128" s="1176"/>
      <c r="O128" s="1176"/>
      <c r="P128" s="1176"/>
      <c r="Q128" s="1176"/>
      <c r="R128" s="1652"/>
      <c r="S128" s="1176"/>
      <c r="T128" s="1176"/>
      <c r="U128" s="560"/>
      <c r="V128" s="1176"/>
      <c r="W128" s="1176"/>
      <c r="X128" s="1176"/>
      <c r="Y128" s="1176"/>
      <c r="Z128" s="1176"/>
      <c r="AA128" s="1648"/>
      <c r="AB128" s="582"/>
      <c r="AC128" s="582"/>
      <c r="AD128" s="582"/>
      <c r="AE128" s="582"/>
      <c r="AF128" s="1657">
        <v>11</v>
      </c>
    </row>
    <row s="1657" customFormat="1" customHeight="1" ht="11.549999999999999">
      <c r="A129" s="1003"/>
      <c r="B129" s="1652"/>
      <c r="C129" s="1652"/>
      <c r="D129" s="367"/>
      <c r="K129" s="1176"/>
      <c r="L129" s="1652"/>
      <c r="M129" s="1652"/>
      <c r="N129" s="1176"/>
      <c r="O129" s="1176"/>
      <c r="P129" s="1176"/>
      <c r="Q129" s="1176"/>
      <c r="R129" s="1652"/>
      <c r="S129" s="1176"/>
      <c r="T129" s="1176"/>
      <c r="U129" s="560"/>
      <c r="V129" s="1176"/>
      <c r="W129" s="1176"/>
      <c r="X129" s="1176"/>
      <c r="Y129" s="1176"/>
      <c r="Z129" s="1176"/>
      <c r="AA129" s="1648"/>
      <c r="AB129" s="582"/>
      <c r="AC129" s="582"/>
      <c r="AD129" s="582"/>
      <c r="AE129" s="582"/>
      <c r="AF129" s="1657">
        <v>11</v>
      </c>
    </row>
    <row s="1657" customFormat="1" customHeight="1" ht="11.549999999999999">
      <c r="A130" s="1003"/>
      <c r="B130" s="1652"/>
      <c r="C130" s="1652"/>
      <c r="D130" s="367"/>
      <c r="K130" s="1176"/>
      <c r="L130" s="1652"/>
      <c r="M130" s="1652"/>
      <c r="N130" s="1176"/>
      <c r="O130" s="1176"/>
      <c r="P130" s="1176"/>
      <c r="Q130" s="1176"/>
      <c r="R130" s="1652"/>
      <c r="S130" s="1176"/>
      <c r="T130" s="1176"/>
      <c r="U130" s="560"/>
      <c r="V130" s="1176"/>
      <c r="W130" s="1176"/>
      <c r="X130" s="1176"/>
      <c r="Y130" s="1176"/>
      <c r="Z130" s="1176"/>
      <c r="AA130" s="1648"/>
      <c r="AB130" s="582"/>
      <c r="AC130" s="582"/>
      <c r="AD130" s="582"/>
      <c r="AE130" s="582"/>
      <c r="AF130" s="1657">
        <v>11</v>
      </c>
    </row>
    <row s="1657" customFormat="1" customHeight="1" ht="11.549999999999999">
      <c r="A131" s="1003"/>
      <c r="B131" s="1652"/>
      <c r="C131" s="1652"/>
      <c r="D131" s="367"/>
      <c r="K131" s="1176"/>
      <c r="L131" s="1652"/>
      <c r="M131" s="1652"/>
      <c r="N131" s="1176"/>
      <c r="O131" s="1176"/>
      <c r="P131" s="1176"/>
      <c r="Q131" s="1176"/>
      <c r="R131" s="1652"/>
      <c r="S131" s="1176"/>
      <c r="T131" s="1176"/>
      <c r="U131" s="560"/>
      <c r="V131" s="1176"/>
      <c r="W131" s="1176"/>
      <c r="X131" s="1176"/>
      <c r="Y131" s="1176"/>
      <c r="Z131" s="1176"/>
      <c r="AA131" s="1648"/>
      <c r="AB131" s="582"/>
      <c r="AC131" s="582"/>
      <c r="AD131" s="582"/>
      <c r="AE131" s="582"/>
      <c r="AF131" s="1657">
        <v>11</v>
      </c>
    </row>
    <row s="1657" customFormat="1" customHeight="1" ht="11.549999999999999">
      <c r="A132" s="1003"/>
      <c r="B132" s="1652"/>
      <c r="C132" s="1652"/>
      <c r="D132" s="367"/>
      <c r="K132" s="1176"/>
      <c r="L132" s="1652"/>
      <c r="M132" s="1652"/>
      <c r="N132" s="1176"/>
      <c r="O132" s="1176"/>
      <c r="P132" s="1176"/>
      <c r="Q132" s="1176"/>
      <c r="R132" s="1652"/>
      <c r="S132" s="1176"/>
      <c r="T132" s="1176"/>
      <c r="U132" s="560"/>
      <c r="V132" s="1176"/>
      <c r="W132" s="1176"/>
      <c r="X132" s="1176"/>
      <c r="Y132" s="1176"/>
      <c r="Z132" s="1176"/>
      <c r="AA132" s="1648"/>
      <c r="AB132" s="582"/>
      <c r="AC132" s="582"/>
      <c r="AD132" s="582"/>
      <c r="AE132" s="582"/>
      <c r="AF132" s="1657">
        <v>11</v>
      </c>
    </row>
    <row s="1657" customFormat="1" customHeight="1" ht="11.549999999999999">
      <c r="A133" s="1003"/>
      <c r="B133" s="1652"/>
      <c r="C133" s="1652"/>
      <c r="D133" s="367"/>
      <c r="K133" s="1176"/>
      <c r="L133" s="1652"/>
      <c r="M133" s="1652"/>
      <c r="N133" s="1176"/>
      <c r="O133" s="1176"/>
      <c r="P133" s="1176"/>
      <c r="Q133" s="1176"/>
      <c r="R133" s="1652"/>
      <c r="S133" s="1176"/>
      <c r="T133" s="1176"/>
      <c r="U133" s="560"/>
      <c r="V133" s="1176"/>
      <c r="W133" s="1176"/>
      <c r="X133" s="1176"/>
      <c r="Y133" s="1176"/>
      <c r="Z133" s="1176"/>
      <c r="AA133" s="1648"/>
      <c r="AB133" s="582"/>
      <c r="AC133" s="582"/>
      <c r="AD133" s="582"/>
      <c r="AE133" s="582"/>
      <c r="AF133" s="1657">
        <v>11</v>
      </c>
    </row>
    <row s="1657" customFormat="1" customHeight="1" ht="11.549999999999999">
      <c r="A134" s="1003"/>
      <c r="B134" s="1652"/>
      <c r="C134" s="1652"/>
      <c r="D134" s="367"/>
      <c r="K134" s="1176"/>
      <c r="L134" s="1652"/>
      <c r="M134" s="1652"/>
      <c r="N134" s="1176"/>
      <c r="O134" s="1176"/>
      <c r="P134" s="1176"/>
      <c r="Q134" s="1176"/>
      <c r="R134" s="1652"/>
      <c r="S134" s="1176"/>
      <c r="T134" s="1176"/>
      <c r="U134" s="560"/>
      <c r="V134" s="1176"/>
      <c r="W134" s="1176"/>
      <c r="X134" s="1176"/>
      <c r="Y134" s="1176"/>
      <c r="Z134" s="1176"/>
      <c r="AA134" s="1648"/>
      <c r="AB134" s="582"/>
      <c r="AC134" s="582"/>
      <c r="AD134" s="582"/>
      <c r="AE134" s="582"/>
      <c r="AF134" s="1657">
        <v>11</v>
      </c>
    </row>
    <row s="1657" customFormat="1" customHeight="1" ht="11.549999999999999">
      <c r="A135" s="1003"/>
      <c r="B135" s="1652"/>
      <c r="C135" s="1652"/>
      <c r="D135" s="367"/>
      <c r="K135" s="1176"/>
      <c r="L135" s="1652"/>
      <c r="M135" s="1652"/>
      <c r="N135" s="1176"/>
      <c r="O135" s="1176"/>
      <c r="P135" s="1176"/>
      <c r="Q135" s="1176"/>
      <c r="R135" s="1652"/>
      <c r="S135" s="1176"/>
      <c r="T135" s="1176"/>
      <c r="U135" s="560"/>
      <c r="V135" s="1176"/>
      <c r="W135" s="1176"/>
      <c r="X135" s="1176"/>
      <c r="Y135" s="1176"/>
      <c r="Z135" s="1176"/>
      <c r="AA135" s="1648"/>
      <c r="AB135" s="582"/>
      <c r="AC135" s="582"/>
      <c r="AD135" s="582"/>
      <c r="AE135" s="582"/>
      <c r="AF135" s="1657">
        <v>11</v>
      </c>
    </row>
    <row s="1657" customFormat="1" customHeight="1" ht="11.549999999999999">
      <c r="A136" s="1003"/>
      <c r="B136" s="1652"/>
      <c r="C136" s="1652"/>
      <c r="D136" s="367"/>
      <c r="K136" s="1176"/>
      <c r="L136" s="1652"/>
      <c r="M136" s="1652"/>
      <c r="N136" s="1176"/>
      <c r="O136" s="1176"/>
      <c r="P136" s="1176"/>
      <c r="Q136" s="1176"/>
      <c r="R136" s="1652"/>
      <c r="S136" s="1176"/>
      <c r="T136" s="1176"/>
      <c r="U136" s="560"/>
      <c r="V136" s="1176"/>
      <c r="W136" s="1176"/>
      <c r="X136" s="1176"/>
      <c r="Y136" s="1176"/>
      <c r="Z136" s="1176"/>
      <c r="AA136" s="1648"/>
      <c r="AB136" s="582"/>
      <c r="AC136" s="582"/>
      <c r="AD136" s="582"/>
      <c r="AE136" s="582"/>
      <c r="AF136" s="1657">
        <v>11</v>
      </c>
    </row>
    <row s="1657" customFormat="1" customHeight="1" ht="11.549999999999999">
      <c r="A137" s="1003"/>
      <c r="B137" s="1652"/>
      <c r="C137" s="1652"/>
      <c r="D137" s="367"/>
      <c r="K137" s="1176"/>
      <c r="L137" s="1652"/>
      <c r="M137" s="1652"/>
      <c r="N137" s="1176"/>
      <c r="O137" s="1176"/>
      <c r="P137" s="1176"/>
      <c r="Q137" s="1176"/>
      <c r="R137" s="1652"/>
      <c r="S137" s="1176"/>
      <c r="T137" s="1176"/>
      <c r="U137" s="560"/>
      <c r="V137" s="1176"/>
      <c r="W137" s="1176"/>
      <c r="X137" s="1176"/>
      <c r="Y137" s="1176"/>
      <c r="Z137" s="1176"/>
      <c r="AA137" s="1648"/>
      <c r="AB137" s="582"/>
      <c r="AC137" s="582"/>
      <c r="AD137" s="582"/>
      <c r="AE137" s="582"/>
      <c r="AF137" s="1657">
        <v>11</v>
      </c>
    </row>
    <row s="1657" customFormat="1" customHeight="1" ht="11.549999999999999">
      <c r="A138" s="1003"/>
      <c r="B138" s="1652"/>
      <c r="C138" s="1652"/>
      <c r="D138" s="367"/>
      <c r="K138" s="1176"/>
      <c r="L138" s="1652"/>
      <c r="M138" s="1652"/>
      <c r="N138" s="1176"/>
      <c r="O138" s="1176"/>
      <c r="P138" s="1176"/>
      <c r="Q138" s="1176"/>
      <c r="R138" s="1652"/>
      <c r="S138" s="1176"/>
      <c r="T138" s="1176"/>
      <c r="U138" s="560"/>
      <c r="V138" s="1176"/>
      <c r="W138" s="1176"/>
      <c r="X138" s="1176"/>
      <c r="Y138" s="1176"/>
      <c r="Z138" s="1176"/>
      <c r="AA138" s="1648"/>
      <c r="AB138" s="582"/>
      <c r="AC138" s="582"/>
      <c r="AD138" s="582"/>
      <c r="AE138" s="582"/>
      <c r="AF138" s="1657">
        <v>11</v>
      </c>
    </row>
    <row s="1657" customFormat="1" customHeight="1" ht="11.549999999999999">
      <c r="A139" s="1003"/>
      <c r="B139" s="1652"/>
      <c r="C139" s="1652"/>
      <c r="D139" s="367"/>
      <c r="K139" s="1176"/>
      <c r="L139" s="1652"/>
      <c r="M139" s="1652"/>
      <c r="N139" s="1176"/>
      <c r="O139" s="1176"/>
      <c r="P139" s="1176"/>
      <c r="Q139" s="1176"/>
      <c r="R139" s="1652"/>
      <c r="S139" s="1176"/>
      <c r="T139" s="1176"/>
      <c r="U139" s="560"/>
      <c r="V139" s="1176"/>
      <c r="W139" s="1176"/>
      <c r="X139" s="1176"/>
      <c r="Y139" s="1176"/>
      <c r="Z139" s="1176"/>
      <c r="AA139" s="1648"/>
      <c r="AB139" s="582"/>
      <c r="AC139" s="582"/>
      <c r="AD139" s="582"/>
      <c r="AE139" s="582"/>
      <c r="AF139" s="1657">
        <v>11</v>
      </c>
    </row>
    <row s="1657" customFormat="1" customHeight="1" ht="11.549999999999999">
      <c r="A140" s="1003"/>
      <c r="B140" s="1652"/>
      <c r="C140" s="1652"/>
      <c r="D140" s="367"/>
      <c r="K140" s="1176"/>
      <c r="L140" s="1652"/>
      <c r="M140" s="1652"/>
      <c r="N140" s="1176"/>
      <c r="O140" s="1176"/>
      <c r="P140" s="1176"/>
      <c r="Q140" s="1176"/>
      <c r="R140" s="1652"/>
      <c r="S140" s="1176"/>
      <c r="T140" s="1176"/>
      <c r="U140" s="560"/>
      <c r="V140" s="1176"/>
      <c r="W140" s="1176"/>
      <c r="X140" s="1176"/>
      <c r="Y140" s="1176"/>
      <c r="Z140" s="1176"/>
      <c r="AA140" s="1648"/>
      <c r="AB140" s="582"/>
      <c r="AC140" s="582"/>
      <c r="AD140" s="582"/>
      <c r="AE140" s="582"/>
      <c r="AF140" s="1657">
        <v>11</v>
      </c>
    </row>
    <row s="1657" customFormat="1" customHeight="1" ht="11.549999999999999">
      <c r="A141" s="1003"/>
      <c r="B141" s="1652"/>
      <c r="C141" s="1652"/>
      <c r="D141" s="367"/>
      <c r="K141" s="1176"/>
      <c r="L141" s="1652"/>
      <c r="M141" s="1652"/>
      <c r="N141" s="1176"/>
      <c r="O141" s="1176"/>
      <c r="P141" s="1176"/>
      <c r="Q141" s="1176"/>
      <c r="R141" s="1652"/>
      <c r="S141" s="1176"/>
      <c r="T141" s="1176"/>
      <c r="U141" s="560"/>
      <c r="V141" s="1176"/>
      <c r="W141" s="1176"/>
      <c r="X141" s="1176"/>
      <c r="Y141" s="1176"/>
      <c r="Z141" s="1176"/>
      <c r="AA141" s="1648"/>
      <c r="AB141" s="582"/>
      <c r="AC141" s="582"/>
      <c r="AD141" s="582"/>
      <c r="AE141" s="582"/>
      <c r="AF141" s="1657">
        <v>11</v>
      </c>
    </row>
    <row s="1657" customFormat="1" customHeight="1" ht="11.549999999999999">
      <c r="A142" s="1003"/>
      <c r="B142" s="1652"/>
      <c r="C142" s="1652"/>
      <c r="D142" s="367"/>
      <c r="K142" s="1176"/>
      <c r="L142" s="1652"/>
      <c r="M142" s="1652"/>
      <c r="N142" s="1176"/>
      <c r="O142" s="1176"/>
      <c r="P142" s="1176"/>
      <c r="Q142" s="1176"/>
      <c r="R142" s="1652"/>
      <c r="S142" s="1176"/>
      <c r="T142" s="1176"/>
      <c r="U142" s="560"/>
      <c r="V142" s="1176"/>
      <c r="W142" s="1176"/>
      <c r="X142" s="1176"/>
      <c r="Y142" s="1176"/>
      <c r="Z142" s="1176"/>
      <c r="AA142" s="1648"/>
      <c r="AB142" s="582"/>
      <c r="AC142" s="582"/>
      <c r="AD142" s="582"/>
      <c r="AE142" s="582"/>
      <c r="AF142" s="1657">
        <v>11</v>
      </c>
    </row>
    <row s="1657" customFormat="1" customHeight="1" ht="11.549999999999999">
      <c r="A143" s="1003"/>
      <c r="B143" s="1652"/>
      <c r="C143" s="1652"/>
      <c r="D143" s="367"/>
      <c r="K143" s="1176"/>
      <c r="L143" s="1652"/>
      <c r="M143" s="1652"/>
      <c r="N143" s="1176"/>
      <c r="O143" s="1176"/>
      <c r="P143" s="1176"/>
      <c r="Q143" s="1176"/>
      <c r="R143" s="1652"/>
      <c r="S143" s="1176"/>
      <c r="T143" s="1176"/>
      <c r="U143" s="560"/>
      <c r="V143" s="1176"/>
      <c r="W143" s="1176"/>
      <c r="X143" s="1176"/>
      <c r="Y143" s="1176"/>
      <c r="Z143" s="1176"/>
      <c r="AA143" s="1648"/>
      <c r="AB143" s="582"/>
      <c r="AC143" s="582"/>
      <c r="AD143" s="582"/>
      <c r="AE143" s="582"/>
      <c r="AF143" s="1657">
        <v>11</v>
      </c>
    </row>
    <row s="1657" customFormat="1" customHeight="1" ht="11.549999999999999">
      <c r="A144" s="1003"/>
      <c r="B144" s="1652"/>
      <c r="C144" s="1652"/>
      <c r="D144" s="367"/>
      <c r="K144" s="1176"/>
      <c r="L144" s="1652"/>
      <c r="M144" s="1652"/>
      <c r="N144" s="1176"/>
      <c r="O144" s="1176"/>
      <c r="P144" s="1176"/>
      <c r="Q144" s="1176"/>
      <c r="R144" s="1652"/>
      <c r="S144" s="1176"/>
      <c r="T144" s="1176"/>
      <c r="U144" s="560"/>
      <c r="V144" s="1176"/>
      <c r="W144" s="1176"/>
      <c r="X144" s="1176"/>
      <c r="Y144" s="1176"/>
      <c r="Z144" s="1176"/>
      <c r="AA144" s="1648"/>
      <c r="AB144" s="582"/>
      <c r="AC144" s="582"/>
      <c r="AD144" s="582"/>
      <c r="AE144" s="582"/>
      <c r="AF144" s="1657">
        <v>11</v>
      </c>
    </row>
    <row s="1657" customFormat="1" customHeight="1" ht="11.549999999999999">
      <c r="A145" s="1003"/>
      <c r="B145" s="1652"/>
      <c r="C145" s="1652"/>
      <c r="D145" s="367"/>
      <c r="K145" s="1176"/>
      <c r="L145" s="1652"/>
      <c r="M145" s="1652"/>
      <c r="N145" s="1176"/>
      <c r="O145" s="1176"/>
      <c r="P145" s="1176"/>
      <c r="Q145" s="1176"/>
      <c r="R145" s="1652"/>
      <c r="S145" s="1176"/>
      <c r="T145" s="1176"/>
      <c r="U145" s="560"/>
      <c r="V145" s="1176"/>
      <c r="W145" s="1176"/>
      <c r="X145" s="1176"/>
      <c r="Y145" s="1176"/>
      <c r="Z145" s="1176"/>
      <c r="AA145" s="1648"/>
      <c r="AB145" s="582"/>
      <c r="AC145" s="582"/>
      <c r="AD145" s="582"/>
      <c r="AE145" s="582"/>
      <c r="AF145" s="1657">
        <v>11</v>
      </c>
    </row>
    <row s="1657" customFormat="1" customHeight="1" ht="11.549999999999999">
      <c r="A146" s="1003"/>
      <c r="B146" s="1652"/>
      <c r="C146" s="1652"/>
      <c r="D146" s="367"/>
      <c r="K146" s="1176"/>
      <c r="L146" s="1652"/>
      <c r="M146" s="1652"/>
      <c r="N146" s="1176"/>
      <c r="O146" s="1176"/>
      <c r="P146" s="1176"/>
      <c r="Q146" s="1176"/>
      <c r="R146" s="1652"/>
      <c r="S146" s="1176"/>
      <c r="T146" s="1176"/>
      <c r="U146" s="560"/>
      <c r="V146" s="1176"/>
      <c r="W146" s="1176"/>
      <c r="X146" s="1176"/>
      <c r="Y146" s="1176"/>
      <c r="Z146" s="1176"/>
      <c r="AA146" s="1648"/>
      <c r="AB146" s="582"/>
      <c r="AC146" s="582"/>
      <c r="AD146" s="582"/>
      <c r="AE146" s="582"/>
      <c r="AF146" s="1657">
        <v>11</v>
      </c>
    </row>
    <row s="1657" customFormat="1" customHeight="1" ht="11.549999999999999">
      <c r="A147" s="1003"/>
      <c r="B147" s="1652"/>
      <c r="C147" s="1652"/>
      <c r="D147" s="367"/>
      <c r="K147" s="1176"/>
      <c r="L147" s="1652"/>
      <c r="M147" s="1652"/>
      <c r="N147" s="1176"/>
      <c r="O147" s="1176"/>
      <c r="P147" s="1176"/>
      <c r="Q147" s="1176"/>
      <c r="R147" s="1652"/>
      <c r="S147" s="1176"/>
      <c r="T147" s="1176"/>
      <c r="U147" s="560"/>
      <c r="V147" s="1176"/>
      <c r="W147" s="1176"/>
      <c r="X147" s="1176"/>
      <c r="Y147" s="1176"/>
      <c r="Z147" s="1176"/>
      <c r="AA147" s="1648"/>
      <c r="AB147" s="582"/>
      <c r="AC147" s="582"/>
      <c r="AD147" s="582"/>
      <c r="AE147" s="582"/>
      <c r="AF147" s="1657">
        <v>11</v>
      </c>
    </row>
    <row s="1657" customFormat="1" customHeight="1" ht="11.549999999999999">
      <c r="A148" s="1003"/>
      <c r="B148" s="1652"/>
      <c r="C148" s="1652"/>
      <c r="D148" s="367"/>
      <c r="K148" s="1176"/>
      <c r="L148" s="1652"/>
      <c r="M148" s="1652"/>
      <c r="N148" s="1176"/>
      <c r="O148" s="1176"/>
      <c r="P148" s="1176"/>
      <c r="Q148" s="1176"/>
      <c r="R148" s="1652"/>
      <c r="S148" s="1176"/>
      <c r="T148" s="1176"/>
      <c r="U148" s="560"/>
      <c r="V148" s="1176"/>
      <c r="W148" s="1176"/>
      <c r="X148" s="1176"/>
      <c r="Y148" s="1176"/>
      <c r="Z148" s="1176"/>
      <c r="AA148" s="1648"/>
      <c r="AB148" s="582"/>
      <c r="AC148" s="582"/>
      <c r="AD148" s="582"/>
      <c r="AE148" s="582"/>
      <c r="AF148" s="1657">
        <v>11</v>
      </c>
    </row>
    <row s="1657" customFormat="1" customHeight="1" ht="11.549999999999999">
      <c r="A149" s="1003"/>
      <c r="B149" s="1652"/>
      <c r="C149" s="1652"/>
      <c r="D149" s="367"/>
      <c r="K149" s="1176"/>
      <c r="L149" s="1652"/>
      <c r="M149" s="1652"/>
      <c r="N149" s="1176"/>
      <c r="O149" s="1176"/>
      <c r="P149" s="1176"/>
      <c r="Q149" s="1176"/>
      <c r="R149" s="1652"/>
      <c r="S149" s="1176"/>
      <c r="T149" s="1176"/>
      <c r="U149" s="560"/>
      <c r="V149" s="1176"/>
      <c r="W149" s="1176"/>
      <c r="X149" s="1176"/>
      <c r="Y149" s="1176"/>
      <c r="Z149" s="1176"/>
      <c r="AA149" s="1648"/>
      <c r="AB149" s="582"/>
      <c r="AC149" s="582"/>
      <c r="AD149" s="582"/>
      <c r="AE149" s="582"/>
      <c r="AF149" s="1657">
        <v>11</v>
      </c>
    </row>
    <row s="1657" customFormat="1" customHeight="1" ht="11.549999999999999">
      <c r="A150" s="1003"/>
      <c r="B150" s="1652"/>
      <c r="C150" s="1652"/>
      <c r="D150" s="367"/>
      <c r="K150" s="1176"/>
      <c r="L150" s="1652"/>
      <c r="M150" s="1652"/>
      <c r="N150" s="1176"/>
      <c r="O150" s="1176"/>
      <c r="P150" s="1176"/>
      <c r="Q150" s="1176"/>
      <c r="R150" s="1652"/>
      <c r="S150" s="1176"/>
      <c r="T150" s="1176"/>
      <c r="U150" s="560"/>
      <c r="V150" s="1176"/>
      <c r="W150" s="1176"/>
      <c r="X150" s="1176"/>
      <c r="Y150" s="1176"/>
      <c r="Z150" s="1176"/>
      <c r="AA150" s="1648"/>
      <c r="AB150" s="582"/>
      <c r="AC150" s="582"/>
      <c r="AD150" s="582"/>
      <c r="AE150" s="582"/>
      <c r="AF150" s="1657">
        <v>11</v>
      </c>
    </row>
    <row s="1657" customFormat="1" customHeight="1" ht="11.549999999999999">
      <c r="A151" s="1003"/>
      <c r="B151" s="1652"/>
      <c r="C151" s="1652"/>
      <c r="D151" s="367"/>
      <c r="K151" s="1176"/>
      <c r="L151" s="1652"/>
      <c r="M151" s="1652"/>
      <c r="N151" s="1176"/>
      <c r="O151" s="1176"/>
      <c r="P151" s="1176"/>
      <c r="Q151" s="1176"/>
      <c r="R151" s="1652"/>
      <c r="S151" s="1176"/>
      <c r="T151" s="1176"/>
      <c r="U151" s="560"/>
      <c r="V151" s="1176"/>
      <c r="W151" s="1176"/>
      <c r="X151" s="1176"/>
      <c r="Y151" s="1176"/>
      <c r="Z151" s="1176"/>
      <c r="AA151" s="1648"/>
      <c r="AB151" s="582"/>
      <c r="AC151" s="582"/>
      <c r="AD151" s="582"/>
      <c r="AE151" s="582"/>
      <c r="AF151" s="1657">
        <v>11</v>
      </c>
    </row>
    <row s="1657" customFormat="1" customHeight="1" ht="11.549999999999999">
      <c r="A152" s="1003"/>
      <c r="B152" s="1652"/>
      <c r="C152" s="1652"/>
      <c r="D152" s="367"/>
      <c r="K152" s="1176"/>
      <c r="L152" s="1652"/>
      <c r="M152" s="1652"/>
      <c r="N152" s="1176"/>
      <c r="O152" s="1176"/>
      <c r="P152" s="1176"/>
      <c r="Q152" s="1176"/>
      <c r="R152" s="1652"/>
      <c r="S152" s="1176"/>
      <c r="T152" s="1176"/>
      <c r="U152" s="560"/>
      <c r="V152" s="1176"/>
      <c r="W152" s="1176"/>
      <c r="X152" s="1176"/>
      <c r="Y152" s="1176"/>
      <c r="Z152" s="1176"/>
      <c r="AA152" s="1648"/>
      <c r="AB152" s="582"/>
      <c r="AC152" s="582"/>
      <c r="AD152" s="582"/>
      <c r="AE152" s="582"/>
      <c r="AF152" s="1657">
        <v>11</v>
      </c>
    </row>
    <row s="1657" customFormat="1" customHeight="1" ht="11.549999999999999">
      <c r="A153" s="1003"/>
      <c r="B153" s="1652"/>
      <c r="C153" s="1652"/>
      <c r="D153" s="367"/>
      <c r="K153" s="1176"/>
      <c r="L153" s="1652"/>
      <c r="M153" s="1652"/>
      <c r="N153" s="1176"/>
      <c r="O153" s="1176"/>
      <c r="P153" s="1176"/>
      <c r="Q153" s="1176"/>
      <c r="R153" s="1652"/>
      <c r="S153" s="1176"/>
      <c r="T153" s="1176"/>
      <c r="U153" s="560"/>
      <c r="V153" s="1176"/>
      <c r="W153" s="1176"/>
      <c r="X153" s="1176"/>
      <c r="Y153" s="1176"/>
      <c r="Z153" s="1176"/>
      <c r="AA153" s="1648"/>
      <c r="AB153" s="582"/>
      <c r="AC153" s="582"/>
      <c r="AD153" s="582"/>
      <c r="AE153" s="582"/>
      <c r="AF153" s="1657">
        <v>11</v>
      </c>
    </row>
    <row s="1657" customFormat="1" customHeight="1" ht="11.549999999999999">
      <c r="A154" s="1003"/>
      <c r="B154" s="1652"/>
      <c r="C154" s="1652"/>
      <c r="D154" s="367"/>
      <c r="K154" s="1176"/>
      <c r="L154" s="1652"/>
      <c r="M154" s="1652"/>
      <c r="N154" s="1176"/>
      <c r="O154" s="1176"/>
      <c r="P154" s="1176"/>
      <c r="Q154" s="1176"/>
      <c r="R154" s="1652"/>
      <c r="S154" s="1176"/>
      <c r="T154" s="1176"/>
      <c r="U154" s="560"/>
      <c r="V154" s="1176"/>
      <c r="W154" s="1176"/>
      <c r="X154" s="1176"/>
      <c r="Y154" s="1176"/>
      <c r="Z154" s="1176"/>
      <c r="AA154" s="1648"/>
      <c r="AB154" s="582"/>
      <c r="AC154" s="582"/>
      <c r="AD154" s="582"/>
      <c r="AE154" s="582"/>
      <c r="AF154" s="1657">
        <v>11</v>
      </c>
    </row>
    <row s="1657" customFormat="1" customHeight="1" ht="11.549999999999999">
      <c r="A155" s="1003"/>
      <c r="B155" s="1652"/>
      <c r="C155" s="1652"/>
      <c r="D155" s="367"/>
      <c r="K155" s="1176"/>
      <c r="L155" s="1652"/>
      <c r="M155" s="1652"/>
      <c r="N155" s="1176"/>
      <c r="O155" s="1176"/>
      <c r="P155" s="1176"/>
      <c r="Q155" s="1176"/>
      <c r="R155" s="1652"/>
      <c r="S155" s="1176"/>
      <c r="T155" s="1176"/>
      <c r="U155" s="560"/>
      <c r="V155" s="1176"/>
      <c r="W155" s="1176"/>
      <c r="X155" s="1176"/>
      <c r="Y155" s="1176"/>
      <c r="Z155" s="1176"/>
      <c r="AA155" s="1648"/>
      <c r="AB155" s="582"/>
      <c r="AC155" s="582"/>
      <c r="AD155" s="582"/>
      <c r="AE155" s="582"/>
      <c r="AF155" s="1657">
        <v>11</v>
      </c>
    </row>
    <row s="1657" customFormat="1" customHeight="1" ht="11.549999999999999">
      <c r="A156" s="1003"/>
      <c r="B156" s="1652"/>
      <c r="C156" s="1652"/>
      <c r="D156" s="367"/>
      <c r="K156" s="1176"/>
      <c r="L156" s="1652"/>
      <c r="M156" s="1652"/>
      <c r="N156" s="1176"/>
      <c r="O156" s="1176"/>
      <c r="P156" s="1176"/>
      <c r="Q156" s="1176"/>
      <c r="R156" s="1652"/>
      <c r="S156" s="1176"/>
      <c r="T156" s="1176"/>
      <c r="U156" s="560"/>
      <c r="V156" s="1176"/>
      <c r="W156" s="1176"/>
      <c r="X156" s="1176"/>
      <c r="Y156" s="1176"/>
      <c r="Z156" s="1176"/>
      <c r="AA156" s="1648"/>
      <c r="AB156" s="582"/>
      <c r="AC156" s="582"/>
      <c r="AD156" s="582"/>
      <c r="AE156" s="582"/>
      <c r="AF156" s="1657">
        <v>11</v>
      </c>
    </row>
    <row s="1657" customFormat="1" customHeight="1" ht="11.549999999999999">
      <c r="A157" s="1003"/>
      <c r="B157" s="1652"/>
      <c r="C157" s="1652"/>
      <c r="D157" s="367"/>
      <c r="K157" s="1176"/>
      <c r="L157" s="1652"/>
      <c r="M157" s="1652"/>
      <c r="N157" s="1176"/>
      <c r="O157" s="1176"/>
      <c r="P157" s="1176"/>
      <c r="Q157" s="1176"/>
      <c r="R157" s="1652"/>
      <c r="S157" s="1176"/>
      <c r="T157" s="1176"/>
      <c r="U157" s="560"/>
      <c r="V157" s="1176"/>
      <c r="W157" s="1176"/>
      <c r="X157" s="1176"/>
      <c r="Y157" s="1176"/>
      <c r="Z157" s="1176"/>
      <c r="AA157" s="1648"/>
      <c r="AB157" s="582"/>
      <c r="AC157" s="582"/>
      <c r="AD157" s="582"/>
      <c r="AE157" s="582"/>
      <c r="AF157" s="1657">
        <v>11</v>
      </c>
    </row>
    <row s="1657" customFormat="1" customHeight="1" ht="11.549999999999999">
      <c r="A158" s="1003"/>
      <c r="B158" s="1652"/>
      <c r="C158" s="1652"/>
      <c r="D158" s="367"/>
      <c r="K158" s="1176"/>
      <c r="L158" s="1652"/>
      <c r="M158" s="1652"/>
      <c r="N158" s="1176"/>
      <c r="O158" s="1176"/>
      <c r="P158" s="1176"/>
      <c r="Q158" s="1176"/>
      <c r="R158" s="1652"/>
      <c r="S158" s="1176"/>
      <c r="T158" s="1176"/>
      <c r="U158" s="560"/>
      <c r="V158" s="1176"/>
      <c r="W158" s="1176"/>
      <c r="X158" s="1176"/>
      <c r="Y158" s="1176"/>
      <c r="Z158" s="1176"/>
      <c r="AA158" s="1648"/>
      <c r="AB158" s="582"/>
      <c r="AC158" s="582"/>
      <c r="AD158" s="582"/>
      <c r="AE158" s="582"/>
      <c r="AF158" s="1657">
        <v>11</v>
      </c>
    </row>
    <row s="1657" customFormat="1" customHeight="1" ht="11.549999999999999">
      <c r="A159" s="1003"/>
      <c r="B159" s="1652"/>
      <c r="C159" s="1652"/>
      <c r="D159" s="367"/>
      <c r="K159" s="1176"/>
      <c r="L159" s="1652"/>
      <c r="M159" s="1652"/>
      <c r="N159" s="1176"/>
      <c r="O159" s="1176"/>
      <c r="P159" s="1176"/>
      <c r="Q159" s="1176"/>
      <c r="R159" s="1652"/>
      <c r="S159" s="1176"/>
      <c r="T159" s="1176"/>
      <c r="U159" s="560"/>
      <c r="V159" s="1176"/>
      <c r="W159" s="1176"/>
      <c r="X159" s="1176"/>
      <c r="Y159" s="1176"/>
      <c r="Z159" s="1176"/>
      <c r="AA159" s="1648"/>
      <c r="AB159" s="582"/>
      <c r="AC159" s="582"/>
      <c r="AD159" s="582"/>
      <c r="AE159" s="582"/>
      <c r="AF159" s="1657">
        <v>11</v>
      </c>
    </row>
    <row s="1657" customFormat="1" customHeight="1" ht="11.549999999999999">
      <c r="A160" s="1003"/>
      <c r="B160" s="1652"/>
      <c r="C160" s="1652"/>
      <c r="D160" s="367"/>
      <c r="K160" s="1176"/>
      <c r="L160" s="1652"/>
      <c r="M160" s="1652"/>
      <c r="N160" s="1176"/>
      <c r="O160" s="1176"/>
      <c r="P160" s="1176"/>
      <c r="Q160" s="1176"/>
      <c r="R160" s="1652"/>
      <c r="S160" s="1176"/>
      <c r="T160" s="1176"/>
      <c r="U160" s="560"/>
      <c r="V160" s="1176"/>
      <c r="W160" s="1176"/>
      <c r="X160" s="1176"/>
      <c r="Y160" s="1176"/>
      <c r="Z160" s="1176"/>
      <c r="AA160" s="1648"/>
      <c r="AB160" s="582"/>
      <c r="AC160" s="582"/>
      <c r="AD160" s="582"/>
      <c r="AE160" s="582"/>
      <c r="AF160" s="1657">
        <v>11</v>
      </c>
    </row>
    <row s="1657" customFormat="1" customHeight="1" ht="11.549999999999999">
      <c r="A161" s="1003"/>
      <c r="B161" s="1652"/>
      <c r="C161" s="1652"/>
      <c r="D161" s="367"/>
      <c r="K161" s="1176"/>
      <c r="L161" s="1652"/>
      <c r="M161" s="1652"/>
      <c r="N161" s="1176"/>
      <c r="O161" s="1176"/>
      <c r="P161" s="1176"/>
      <c r="Q161" s="1176"/>
      <c r="R161" s="1652"/>
      <c r="S161" s="1176"/>
      <c r="T161" s="1176"/>
      <c r="U161" s="560"/>
      <c r="V161" s="1176"/>
      <c r="W161" s="1176"/>
      <c r="X161" s="1176"/>
      <c r="Y161" s="1176"/>
      <c r="Z161" s="1176"/>
      <c r="AA161" s="1648"/>
      <c r="AB161" s="582"/>
      <c r="AC161" s="582"/>
      <c r="AD161" s="582"/>
      <c r="AE161" s="582"/>
      <c r="AF161" s="1657">
        <v>11</v>
      </c>
    </row>
    <row s="1657" customFormat="1" customHeight="1" ht="11.549999999999999">
      <c r="A162" s="1003"/>
      <c r="B162" s="1652"/>
      <c r="C162" s="1652"/>
      <c r="D162" s="367"/>
      <c r="K162" s="1176"/>
      <c r="L162" s="1652"/>
      <c r="M162" s="1652"/>
      <c r="N162" s="1176"/>
      <c r="O162" s="1176"/>
      <c r="P162" s="1176"/>
      <c r="Q162" s="1176"/>
      <c r="R162" s="1652"/>
      <c r="S162" s="1176"/>
      <c r="T162" s="1176"/>
      <c r="U162" s="560"/>
      <c r="V162" s="1176"/>
      <c r="W162" s="1176"/>
      <c r="X162" s="1176"/>
      <c r="Y162" s="1176"/>
      <c r="Z162" s="1176"/>
      <c r="AA162" s="1648"/>
      <c r="AB162" s="582"/>
      <c r="AC162" s="582"/>
      <c r="AD162" s="582"/>
      <c r="AE162" s="582"/>
      <c r="AF162" s="1657">
        <v>11</v>
      </c>
    </row>
    <row s="1657" customFormat="1" customHeight="1" ht="11.549999999999999">
      <c r="A163" s="1003"/>
      <c r="B163" s="1652"/>
      <c r="C163" s="1652"/>
      <c r="D163" s="367"/>
      <c r="K163" s="1176"/>
      <c r="L163" s="1652"/>
      <c r="M163" s="1652"/>
      <c r="N163" s="1176"/>
      <c r="O163" s="1176"/>
      <c r="P163" s="1176"/>
      <c r="Q163" s="1176"/>
      <c r="R163" s="1652"/>
      <c r="S163" s="1176"/>
      <c r="T163" s="1176"/>
      <c r="U163" s="560"/>
      <c r="V163" s="1176"/>
      <c r="W163" s="1176"/>
      <c r="X163" s="1176"/>
      <c r="Y163" s="1176"/>
      <c r="Z163" s="1176"/>
      <c r="AA163" s="1648"/>
      <c r="AB163" s="582"/>
      <c r="AC163" s="582"/>
      <c r="AD163" s="582"/>
      <c r="AE163" s="582"/>
      <c r="AF163" s="1657">
        <v>11</v>
      </c>
    </row>
    <row s="1657" customFormat="1" customHeight="1" ht="11.549999999999999">
      <c r="A164" s="1003"/>
      <c r="B164" s="1652"/>
      <c r="C164" s="1652"/>
      <c r="D164" s="367"/>
      <c r="K164" s="1176"/>
      <c r="L164" s="1652"/>
      <c r="M164" s="1652"/>
      <c r="N164" s="1176"/>
      <c r="O164" s="1176"/>
      <c r="P164" s="1176"/>
      <c r="Q164" s="1176"/>
      <c r="R164" s="1652"/>
      <c r="S164" s="1176"/>
      <c r="T164" s="1176"/>
      <c r="U164" s="560"/>
      <c r="V164" s="1176"/>
      <c r="W164" s="1176"/>
      <c r="X164" s="1176"/>
      <c r="Y164" s="1176"/>
      <c r="Z164" s="1176"/>
      <c r="AA164" s="1648"/>
      <c r="AB164" s="582"/>
      <c r="AC164" s="582"/>
      <c r="AD164" s="582"/>
      <c r="AE164" s="582"/>
      <c r="AF164" s="1657">
        <v>11</v>
      </c>
    </row>
    <row s="1657" customFormat="1" customHeight="1" ht="11.549999999999999">
      <c r="A165" s="1003"/>
      <c r="B165" s="1652"/>
      <c r="C165" s="1652"/>
      <c r="D165" s="367"/>
      <c r="K165" s="1176"/>
      <c r="L165" s="1652"/>
      <c r="M165" s="1652"/>
      <c r="N165" s="1176"/>
      <c r="O165" s="1176"/>
      <c r="P165" s="1176"/>
      <c r="Q165" s="1176"/>
      <c r="R165" s="1652"/>
      <c r="S165" s="1176"/>
      <c r="T165" s="1176"/>
      <c r="U165" s="560"/>
      <c r="V165" s="1176"/>
      <c r="W165" s="1176"/>
      <c r="X165" s="1176"/>
      <c r="Y165" s="1176"/>
      <c r="Z165" s="1176"/>
      <c r="AA165" s="1648"/>
      <c r="AB165" s="582"/>
      <c r="AC165" s="582"/>
      <c r="AD165" s="582"/>
      <c r="AE165" s="582"/>
      <c r="AF165" s="1657">
        <v>11</v>
      </c>
    </row>
    <row s="1657" customFormat="1" customHeight="1" ht="11.549999999999999">
      <c r="A166" s="1003"/>
      <c r="B166" s="1652"/>
      <c r="C166" s="1652"/>
      <c r="D166" s="367"/>
      <c r="K166" s="1176"/>
      <c r="L166" s="1652"/>
      <c r="M166" s="1652"/>
      <c r="N166" s="1176"/>
      <c r="O166" s="1176"/>
      <c r="P166" s="1176"/>
      <c r="Q166" s="1176"/>
      <c r="R166" s="1652"/>
      <c r="S166" s="1176"/>
      <c r="T166" s="1176"/>
      <c r="U166" s="560"/>
      <c r="V166" s="1176"/>
      <c r="W166" s="1176"/>
      <c r="X166" s="1176"/>
      <c r="Y166" s="1176"/>
      <c r="Z166" s="1176"/>
      <c r="AA166" s="1648"/>
      <c r="AB166" s="582"/>
      <c r="AC166" s="582"/>
      <c r="AD166" s="582"/>
      <c r="AE166" s="582"/>
      <c r="AF166" s="1657">
        <v>11</v>
      </c>
    </row>
    <row s="1657" customFormat="1" customHeight="1" ht="11.549999999999999">
      <c r="A167" s="1003"/>
      <c r="B167" s="1652"/>
      <c r="C167" s="1652"/>
      <c r="D167" s="367"/>
      <c r="K167" s="1176"/>
      <c r="L167" s="1652"/>
      <c r="M167" s="1652"/>
      <c r="N167" s="1176"/>
      <c r="O167" s="1176"/>
      <c r="P167" s="1176"/>
      <c r="Q167" s="1176"/>
      <c r="R167" s="1652"/>
      <c r="S167" s="1176"/>
      <c r="T167" s="1176"/>
      <c r="U167" s="560"/>
      <c r="V167" s="1176"/>
      <c r="W167" s="1176"/>
      <c r="X167" s="1176"/>
      <c r="Y167" s="1176"/>
      <c r="Z167" s="1176"/>
      <c r="AA167" s="1648"/>
      <c r="AB167" s="582"/>
      <c r="AC167" s="582"/>
      <c r="AD167" s="582"/>
      <c r="AE167" s="582"/>
      <c r="AF167" s="1657">
        <v>11</v>
      </c>
    </row>
    <row s="1657" customFormat="1" customHeight="1" ht="11.549999999999999">
      <c r="A168" s="1003"/>
      <c r="B168" s="1652"/>
      <c r="C168" s="1652"/>
      <c r="D168" s="367"/>
      <c r="K168" s="1176"/>
      <c r="L168" s="1652"/>
      <c r="M168" s="1652"/>
      <c r="N168" s="1176"/>
      <c r="O168" s="1176"/>
      <c r="P168" s="1176"/>
      <c r="Q168" s="1176"/>
      <c r="R168" s="1652"/>
      <c r="S168" s="1176"/>
      <c r="T168" s="1176"/>
      <c r="U168" s="560"/>
      <c r="V168" s="1176"/>
      <c r="W168" s="1176"/>
      <c r="X168" s="1176"/>
      <c r="Y168" s="1176"/>
      <c r="Z168" s="1176"/>
      <c r="AA168" s="1648"/>
      <c r="AB168" s="582"/>
      <c r="AC168" s="582"/>
      <c r="AD168" s="582"/>
      <c r="AE168" s="582"/>
      <c r="AF168" s="1657">
        <v>11</v>
      </c>
    </row>
    <row s="1657" customFormat="1" customHeight="1" ht="11.549999999999999">
      <c r="A169" s="1003"/>
      <c r="B169" s="1652"/>
      <c r="C169" s="1652"/>
      <c r="D169" s="367"/>
      <c r="K169" s="1176"/>
      <c r="L169" s="1652"/>
      <c r="M169" s="1652"/>
      <c r="N169" s="1176"/>
      <c r="O169" s="1176"/>
      <c r="P169" s="1176"/>
      <c r="Q169" s="1176"/>
      <c r="R169" s="1652"/>
      <c r="S169" s="1176"/>
      <c r="T169" s="1176"/>
      <c r="U169" s="560"/>
      <c r="V169" s="1176"/>
      <c r="W169" s="1176"/>
      <c r="X169" s="1176"/>
      <c r="Y169" s="1176"/>
      <c r="Z169" s="1176"/>
      <c r="AA169" s="1648"/>
      <c r="AB169" s="582"/>
      <c r="AC169" s="582"/>
      <c r="AD169" s="582"/>
      <c r="AE169" s="582"/>
      <c r="AF169" s="1657">
        <v>11</v>
      </c>
    </row>
    <row s="1657" customFormat="1" customHeight="1" ht="11.549999999999999">
      <c r="A170" s="1003"/>
      <c r="B170" s="1652"/>
      <c r="C170" s="1652"/>
      <c r="D170" s="367"/>
      <c r="K170" s="1176"/>
      <c r="L170" s="1652"/>
      <c r="M170" s="1652"/>
      <c r="N170" s="1176"/>
      <c r="O170" s="1176"/>
      <c r="P170" s="1176"/>
      <c r="Q170" s="1176"/>
      <c r="R170" s="1652"/>
      <c r="S170" s="1176"/>
      <c r="T170" s="1176"/>
      <c r="U170" s="560"/>
      <c r="V170" s="1176"/>
      <c r="W170" s="1176"/>
      <c r="X170" s="1176"/>
      <c r="Y170" s="1176"/>
      <c r="Z170" s="1176"/>
      <c r="AA170" s="1648"/>
      <c r="AB170" s="582"/>
      <c r="AC170" s="582"/>
      <c r="AD170" s="582"/>
      <c r="AE170" s="582"/>
      <c r="AF170" s="1657">
        <v>11</v>
      </c>
    </row>
    <row s="1657" customFormat="1" customHeight="1" ht="11.549999999999999">
      <c r="A171" s="1003"/>
      <c r="B171" s="1652"/>
      <c r="C171" s="1652"/>
      <c r="D171" s="367"/>
      <c r="K171" s="1176"/>
      <c r="L171" s="1652"/>
      <c r="M171" s="1652"/>
      <c r="N171" s="1176"/>
      <c r="O171" s="1176"/>
      <c r="P171" s="1176"/>
      <c r="Q171" s="1176"/>
      <c r="R171" s="1652"/>
      <c r="S171" s="1176"/>
      <c r="T171" s="1176"/>
      <c r="U171" s="560"/>
      <c r="V171" s="1176"/>
      <c r="W171" s="1176"/>
      <c r="X171" s="1176"/>
      <c r="Y171" s="1176"/>
      <c r="Z171" s="1176"/>
      <c r="AA171" s="1648"/>
      <c r="AB171" s="582"/>
      <c r="AC171" s="582"/>
      <c r="AD171" s="582"/>
      <c r="AE171" s="582"/>
      <c r="AF171" s="1657">
        <v>11</v>
      </c>
    </row>
    <row s="1657" customFormat="1" customHeight="1" ht="11.549999999999999">
      <c r="A172" s="1003"/>
      <c r="B172" s="1652"/>
      <c r="C172" s="1652"/>
      <c r="D172" s="367"/>
      <c r="K172" s="1176"/>
      <c r="L172" s="1652"/>
      <c r="M172" s="1652"/>
      <c r="N172" s="1176"/>
      <c r="O172" s="1176"/>
      <c r="P172" s="1176"/>
      <c r="Q172" s="1176"/>
      <c r="R172" s="1652"/>
      <c r="S172" s="1176"/>
      <c r="T172" s="1176"/>
      <c r="U172" s="560"/>
      <c r="V172" s="1176"/>
      <c r="W172" s="1176"/>
      <c r="X172" s="1176"/>
      <c r="Y172" s="1176"/>
      <c r="Z172" s="1176"/>
      <c r="AA172" s="1648"/>
      <c r="AB172" s="582"/>
      <c r="AC172" s="582"/>
      <c r="AD172" s="582"/>
      <c r="AE172" s="582"/>
      <c r="AF172" s="1657">
        <v>11</v>
      </c>
    </row>
    <row s="1657" customFormat="1" customHeight="1" ht="11.549999999999999">
      <c r="A173" s="1003"/>
      <c r="B173" s="1652"/>
      <c r="C173" s="1652"/>
      <c r="D173" s="367"/>
      <c r="K173" s="1176"/>
      <c r="L173" s="1652"/>
      <c r="M173" s="1652"/>
      <c r="N173" s="1176"/>
      <c r="O173" s="1176"/>
      <c r="P173" s="1176"/>
      <c r="Q173" s="1176"/>
      <c r="R173" s="1652"/>
      <c r="S173" s="1176"/>
      <c r="T173" s="1176"/>
      <c r="U173" s="560"/>
      <c r="V173" s="1176"/>
      <c r="W173" s="1176"/>
      <c r="X173" s="1176"/>
      <c r="Y173" s="1176"/>
      <c r="Z173" s="1176"/>
      <c r="AA173" s="1648"/>
      <c r="AB173" s="582"/>
      <c r="AC173" s="582"/>
      <c r="AD173" s="582"/>
      <c r="AE173" s="582"/>
      <c r="AF173" s="1657">
        <v>11</v>
      </c>
    </row>
    <row s="1657" customFormat="1" customHeight="1" ht="11.549999999999999">
      <c r="A174" s="1003"/>
      <c r="B174" s="1652"/>
      <c r="C174" s="1652"/>
      <c r="D174" s="367"/>
      <c r="K174" s="1176"/>
      <c r="L174" s="1652"/>
      <c r="M174" s="1652"/>
      <c r="N174" s="1176"/>
      <c r="O174" s="1176"/>
      <c r="P174" s="1176"/>
      <c r="Q174" s="1176"/>
      <c r="R174" s="1652"/>
      <c r="S174" s="1176"/>
      <c r="T174" s="1176"/>
      <c r="U174" s="560"/>
      <c r="V174" s="1176"/>
      <c r="W174" s="1176"/>
      <c r="X174" s="1176"/>
      <c r="Y174" s="1176"/>
      <c r="Z174" s="1176"/>
      <c r="AA174" s="1648"/>
      <c r="AB174" s="582"/>
      <c r="AC174" s="582"/>
      <c r="AD174" s="582"/>
      <c r="AE174" s="582"/>
      <c r="AF174" s="1657">
        <v>11</v>
      </c>
    </row>
    <row s="1657" customFormat="1" customHeight="1" ht="11.549999999999999">
      <c r="A175" s="1003"/>
      <c r="B175" s="1652"/>
      <c r="C175" s="1652"/>
      <c r="D175" s="367"/>
      <c r="K175" s="1176"/>
      <c r="L175" s="1652"/>
      <c r="M175" s="1652"/>
      <c r="N175" s="1176"/>
      <c r="O175" s="1176"/>
      <c r="P175" s="1176"/>
      <c r="Q175" s="1176"/>
      <c r="R175" s="1652"/>
      <c r="S175" s="1176"/>
      <c r="T175" s="1176"/>
      <c r="U175" s="560"/>
      <c r="V175" s="1176"/>
      <c r="W175" s="1176"/>
      <c r="X175" s="1176"/>
      <c r="Y175" s="1176"/>
      <c r="Z175" s="1176"/>
      <c r="AA175" s="1648"/>
      <c r="AB175" s="582"/>
      <c r="AC175" s="582"/>
      <c r="AD175" s="582"/>
      <c r="AE175" s="582"/>
      <c r="AF175" s="1657">
        <v>11</v>
      </c>
    </row>
    <row s="1657" customFormat="1" customHeight="1" ht="11.549999999999999">
      <c r="A176" s="1003"/>
      <c r="B176" s="1652"/>
      <c r="C176" s="1652"/>
      <c r="D176" s="367"/>
      <c r="K176" s="1176"/>
      <c r="L176" s="1652"/>
      <c r="M176" s="1652"/>
      <c r="N176" s="1176"/>
      <c r="O176" s="1176"/>
      <c r="P176" s="1176"/>
      <c r="Q176" s="1176"/>
      <c r="R176" s="1652"/>
      <c r="S176" s="1176"/>
      <c r="T176" s="1176"/>
      <c r="U176" s="560"/>
      <c r="V176" s="1176"/>
      <c r="W176" s="1176"/>
      <c r="X176" s="1176"/>
      <c r="Y176" s="1176"/>
      <c r="Z176" s="1176"/>
      <c r="AA176" s="1648"/>
      <c r="AB176" s="582"/>
      <c r="AC176" s="582"/>
      <c r="AD176" s="582"/>
      <c r="AE176" s="582"/>
      <c r="AF176" s="1657">
        <v>11</v>
      </c>
    </row>
    <row s="1657" customFormat="1" customHeight="1" ht="11.549999999999999">
      <c r="A177" s="1003"/>
      <c r="B177" s="1652"/>
      <c r="C177" s="1652"/>
      <c r="D177" s="367"/>
      <c r="K177" s="1176"/>
      <c r="L177" s="1652"/>
      <c r="M177" s="1652"/>
      <c r="N177" s="1176"/>
      <c r="O177" s="1176"/>
      <c r="P177" s="1176"/>
      <c r="Q177" s="1176"/>
      <c r="R177" s="1652"/>
      <c r="S177" s="1176"/>
      <c r="T177" s="1176"/>
      <c r="U177" s="560"/>
      <c r="V177" s="1176"/>
      <c r="W177" s="1176"/>
      <c r="X177" s="1176"/>
      <c r="Y177" s="1176"/>
      <c r="Z177" s="1176"/>
      <c r="AA177" s="1648"/>
      <c r="AB177" s="582"/>
      <c r="AC177" s="582"/>
      <c r="AD177" s="582"/>
      <c r="AE177" s="582"/>
      <c r="AF177" s="1657">
        <v>11</v>
      </c>
    </row>
    <row s="1657" customFormat="1" customHeight="1" ht="11.549999999999999">
      <c r="A178" s="1003"/>
      <c r="B178" s="1652"/>
      <c r="C178" s="1652"/>
      <c r="D178" s="367"/>
      <c r="K178" s="1176"/>
      <c r="L178" s="1652"/>
      <c r="M178" s="1652"/>
      <c r="N178" s="1176"/>
      <c r="O178" s="1176"/>
      <c r="P178" s="1176"/>
      <c r="Q178" s="1176"/>
      <c r="R178" s="1652"/>
      <c r="S178" s="1176"/>
      <c r="T178" s="1176"/>
      <c r="U178" s="560"/>
      <c r="V178" s="1176"/>
      <c r="W178" s="1176"/>
      <c r="X178" s="1176"/>
      <c r="Y178" s="1176"/>
      <c r="Z178" s="1176"/>
      <c r="AA178" s="1648"/>
      <c r="AB178" s="582"/>
      <c r="AC178" s="582"/>
      <c r="AD178" s="582"/>
      <c r="AE178" s="582"/>
      <c r="AF178" s="1657">
        <v>11</v>
      </c>
    </row>
    <row s="1657" customFormat="1" customHeight="1" ht="11.549999999999999">
      <c r="A179" s="1003"/>
      <c r="B179" s="1652"/>
      <c r="C179" s="1652"/>
      <c r="D179" s="367"/>
      <c r="K179" s="1176"/>
      <c r="L179" s="1652"/>
      <c r="M179" s="1652"/>
      <c r="N179" s="1176"/>
      <c r="O179" s="1176"/>
      <c r="P179" s="1176"/>
      <c r="Q179" s="1176"/>
      <c r="R179" s="1652"/>
      <c r="S179" s="1176"/>
      <c r="T179" s="1176"/>
      <c r="U179" s="560"/>
      <c r="V179" s="1176"/>
      <c r="W179" s="1176"/>
      <c r="X179" s="1176"/>
      <c r="Y179" s="1176"/>
      <c r="Z179" s="1176"/>
      <c r="AA179" s="1648"/>
      <c r="AB179" s="582"/>
      <c r="AC179" s="582"/>
      <c r="AD179" s="582"/>
      <c r="AE179" s="582"/>
      <c r="AF179" s="1657">
        <v>11</v>
      </c>
    </row>
    <row s="1657" customFormat="1" customHeight="1" ht="11.549999999999999">
      <c r="A180" s="1003"/>
      <c r="B180" s="1652"/>
      <c r="C180" s="1652"/>
      <c r="D180" s="367"/>
      <c r="K180" s="1176"/>
      <c r="L180" s="1652"/>
      <c r="M180" s="1652"/>
      <c r="N180" s="1176"/>
      <c r="O180" s="1176"/>
      <c r="P180" s="1176"/>
      <c r="Q180" s="1176"/>
      <c r="R180" s="1652"/>
      <c r="S180" s="1176"/>
      <c r="T180" s="1176"/>
      <c r="U180" s="560"/>
      <c r="V180" s="1176"/>
      <c r="W180" s="1176"/>
      <c r="X180" s="1176"/>
      <c r="Y180" s="1176"/>
      <c r="Z180" s="1176"/>
      <c r="AA180" s="1648"/>
      <c r="AB180" s="582"/>
      <c r="AC180" s="582"/>
      <c r="AD180" s="582"/>
      <c r="AE180" s="582"/>
      <c r="AF180" s="1657">
        <v>11</v>
      </c>
    </row>
    <row s="1657" customFormat="1" customHeight="1" ht="11.549999999999999">
      <c r="A181" s="1003"/>
      <c r="B181" s="1652"/>
      <c r="C181" s="1652"/>
      <c r="D181" s="367"/>
      <c r="K181" s="1176"/>
      <c r="L181" s="1652"/>
      <c r="M181" s="1652"/>
      <c r="N181" s="1176"/>
      <c r="O181" s="1176"/>
      <c r="P181" s="1176"/>
      <c r="Q181" s="1176"/>
      <c r="R181" s="1652"/>
      <c r="S181" s="1176"/>
      <c r="T181" s="1176"/>
      <c r="U181" s="560"/>
      <c r="V181" s="1176"/>
      <c r="W181" s="1176"/>
      <c r="X181" s="1176"/>
      <c r="Y181" s="1176"/>
      <c r="Z181" s="1176"/>
      <c r="AA181" s="1648"/>
      <c r="AB181" s="582"/>
      <c r="AC181" s="582"/>
      <c r="AD181" s="582"/>
      <c r="AE181" s="582"/>
      <c r="AF181" s="1657">
        <v>11</v>
      </c>
    </row>
    <row s="1657" customFormat="1" customHeight="1" ht="11.549999999999999">
      <c r="A182" s="1003"/>
      <c r="B182" s="1652"/>
      <c r="C182" s="1652"/>
      <c r="D182" s="367"/>
      <c r="K182" s="1176"/>
      <c r="L182" s="1652"/>
      <c r="M182" s="1652"/>
      <c r="N182" s="1176"/>
      <c r="O182" s="1176"/>
      <c r="P182" s="1176"/>
      <c r="Q182" s="1176"/>
      <c r="R182" s="1652"/>
      <c r="S182" s="1176"/>
      <c r="T182" s="1176"/>
      <c r="U182" s="560"/>
      <c r="V182" s="1176"/>
      <c r="W182" s="1176"/>
      <c r="X182" s="1176"/>
      <c r="Y182" s="1176"/>
      <c r="Z182" s="1176"/>
      <c r="AA182" s="1648"/>
      <c r="AB182" s="582"/>
      <c r="AC182" s="582"/>
      <c r="AD182" s="582"/>
      <c r="AE182" s="582"/>
      <c r="AF182" s="1657">
        <v>11</v>
      </c>
    </row>
    <row s="1657" customFormat="1" customHeight="1" ht="11.549999999999999">
      <c r="A183" s="1003"/>
      <c r="B183" s="1652"/>
      <c r="C183" s="1652"/>
      <c r="D183" s="367"/>
      <c r="K183" s="1176"/>
      <c r="L183" s="1652"/>
      <c r="M183" s="1652"/>
      <c r="N183" s="1176"/>
      <c r="O183" s="1176"/>
      <c r="P183" s="1176"/>
      <c r="Q183" s="1176"/>
      <c r="R183" s="1652"/>
      <c r="S183" s="1176"/>
      <c r="T183" s="1176"/>
      <c r="U183" s="560"/>
      <c r="V183" s="1176"/>
      <c r="W183" s="1176"/>
      <c r="X183" s="1176"/>
      <c r="Y183" s="1176"/>
      <c r="Z183" s="1176"/>
      <c r="AA183" s="1648"/>
      <c r="AB183" s="582"/>
      <c r="AC183" s="582"/>
      <c r="AD183" s="582"/>
      <c r="AE183" s="582"/>
      <c r="AF183" s="1657">
        <v>11</v>
      </c>
    </row>
    <row s="1657" customFormat="1" customHeight="1" ht="11.549999999999999">
      <c r="A184" s="1003"/>
      <c r="B184" s="1652"/>
      <c r="C184" s="1652"/>
      <c r="D184" s="367"/>
      <c r="K184" s="1176"/>
      <c r="L184" s="1652"/>
      <c r="M184" s="1652"/>
      <c r="N184" s="1176"/>
      <c r="O184" s="1176"/>
      <c r="P184" s="1176"/>
      <c r="Q184" s="1176"/>
      <c r="R184" s="1652"/>
      <c r="S184" s="1176"/>
      <c r="T184" s="1176"/>
      <c r="U184" s="560"/>
      <c r="V184" s="1176"/>
      <c r="W184" s="1176"/>
      <c r="X184" s="1176"/>
      <c r="Y184" s="1176"/>
      <c r="Z184" s="1176"/>
      <c r="AA184" s="1648"/>
      <c r="AB184" s="582"/>
      <c r="AC184" s="582"/>
      <c r="AD184" s="582"/>
      <c r="AE184" s="582"/>
      <c r="AF184" s="1657">
        <v>11</v>
      </c>
    </row>
    <row s="1657" customFormat="1" customHeight="1" ht="11.549999999999999">
      <c r="A185" s="1003"/>
      <c r="B185" s="1652"/>
      <c r="C185" s="1652"/>
      <c r="D185" s="367"/>
      <c r="K185" s="1176"/>
      <c r="L185" s="1652"/>
      <c r="M185" s="1652"/>
      <c r="N185" s="1176"/>
      <c r="O185" s="1176"/>
      <c r="P185" s="1176"/>
      <c r="Q185" s="1176"/>
      <c r="R185" s="1652"/>
      <c r="S185" s="1176"/>
      <c r="T185" s="1176"/>
      <c r="U185" s="560"/>
      <c r="V185" s="1176"/>
      <c r="W185" s="1176"/>
      <c r="X185" s="1176"/>
      <c r="Y185" s="1176"/>
      <c r="Z185" s="1176"/>
      <c r="AA185" s="1648"/>
      <c r="AB185" s="582"/>
      <c r="AC185" s="582"/>
      <c r="AD185" s="582"/>
      <c r="AE185" s="582"/>
      <c r="AF185" s="1657">
        <v>11</v>
      </c>
    </row>
    <row s="1657" customFormat="1" customHeight="1" ht="11.549999999999999">
      <c r="A186" s="1003"/>
      <c r="B186" s="1652"/>
      <c r="C186" s="1652"/>
      <c r="D186" s="367"/>
      <c r="K186" s="1176"/>
      <c r="L186" s="1652"/>
      <c r="M186" s="1652"/>
      <c r="N186" s="1176"/>
      <c r="O186" s="1176"/>
      <c r="P186" s="1176"/>
      <c r="Q186" s="1176"/>
      <c r="R186" s="1652"/>
      <c r="S186" s="1176"/>
      <c r="T186" s="1176"/>
      <c r="U186" s="560"/>
      <c r="V186" s="1176"/>
      <c r="W186" s="1176"/>
      <c r="X186" s="1176"/>
      <c r="Y186" s="1176"/>
      <c r="Z186" s="1176"/>
      <c r="AA186" s="1648"/>
      <c r="AB186" s="582"/>
      <c r="AC186" s="582"/>
      <c r="AD186" s="582"/>
      <c r="AE186" s="582"/>
      <c r="AF186" s="1657">
        <v>11</v>
      </c>
    </row>
    <row s="1657" customFormat="1" customHeight="1" ht="11.549999999999999">
      <c r="A187" s="1003"/>
      <c r="B187" s="1652"/>
      <c r="C187" s="1652"/>
      <c r="D187" s="367"/>
      <c r="K187" s="1176"/>
      <c r="L187" s="1652"/>
      <c r="M187" s="1652"/>
      <c r="N187" s="1176"/>
      <c r="O187" s="1176"/>
      <c r="P187" s="1176"/>
      <c r="Q187" s="1176"/>
      <c r="R187" s="1652"/>
      <c r="S187" s="1176"/>
      <c r="T187" s="1176"/>
      <c r="U187" s="560"/>
      <c r="V187" s="1176"/>
      <c r="W187" s="1176"/>
      <c r="X187" s="1176"/>
      <c r="Y187" s="1176"/>
      <c r="Z187" s="1176"/>
      <c r="AA187" s="1648"/>
      <c r="AB187" s="582"/>
      <c r="AC187" s="582"/>
      <c r="AD187" s="582"/>
      <c r="AE187" s="582"/>
      <c r="AF187" s="1657">
        <v>11</v>
      </c>
    </row>
    <row s="1657" customFormat="1" customHeight="1" ht="11.549999999999999">
      <c r="A188" s="1003"/>
      <c r="B188" s="1652"/>
      <c r="C188" s="1652"/>
      <c r="D188" s="367"/>
      <c r="K188" s="1176"/>
      <c r="L188" s="1652"/>
      <c r="M188" s="1652"/>
      <c r="N188" s="1176"/>
      <c r="O188" s="1176"/>
      <c r="P188" s="1176"/>
      <c r="Q188" s="1176"/>
      <c r="R188" s="1652"/>
      <c r="S188" s="1176"/>
      <c r="T188" s="1176"/>
      <c r="U188" s="560"/>
      <c r="V188" s="1176"/>
      <c r="W188" s="1176"/>
      <c r="X188" s="1176"/>
      <c r="Y188" s="1176"/>
      <c r="Z188" s="1176"/>
      <c r="AA188" s="1648"/>
      <c r="AB188" s="582"/>
      <c r="AC188" s="582"/>
      <c r="AD188" s="582"/>
      <c r="AE188" s="582"/>
      <c r="AF188" s="1657">
        <v>11</v>
      </c>
    </row>
    <row s="1657" customFormat="1" customHeight="1" ht="11.549999999999999">
      <c r="A189" s="1003"/>
      <c r="B189" s="1652"/>
      <c r="C189" s="1652"/>
      <c r="D189" s="367"/>
      <c r="K189" s="1176"/>
      <c r="L189" s="1652"/>
      <c r="M189" s="1652"/>
      <c r="N189" s="1176"/>
      <c r="O189" s="1176"/>
      <c r="P189" s="1176"/>
      <c r="Q189" s="1176"/>
      <c r="R189" s="1652"/>
      <c r="S189" s="1176"/>
      <c r="T189" s="1176"/>
      <c r="U189" s="560"/>
      <c r="V189" s="1176"/>
      <c r="W189" s="1176"/>
      <c r="X189" s="1176"/>
      <c r="Y189" s="1176"/>
      <c r="Z189" s="1176"/>
      <c r="AA189" s="1648"/>
      <c r="AB189" s="582"/>
      <c r="AC189" s="582"/>
      <c r="AD189" s="582"/>
      <c r="AE189" s="582"/>
      <c r="AF189" s="1657">
        <v>11</v>
      </c>
    </row>
    <row s="1657" customFormat="1" customHeight="1" ht="11.549999999999999">
      <c r="A190" s="1003"/>
      <c r="B190" s="1652"/>
      <c r="C190" s="1652"/>
      <c r="D190" s="367"/>
      <c r="K190" s="1176"/>
      <c r="L190" s="1652"/>
      <c r="M190" s="1652"/>
      <c r="N190" s="1176"/>
      <c r="O190" s="1176"/>
      <c r="P190" s="1176"/>
      <c r="Q190" s="1176"/>
      <c r="R190" s="1652"/>
      <c r="S190" s="1176"/>
      <c r="T190" s="1176"/>
      <c r="U190" s="560"/>
      <c r="V190" s="1176"/>
      <c r="W190" s="1176"/>
      <c r="X190" s="1176"/>
      <c r="Y190" s="1176"/>
      <c r="Z190" s="1176"/>
      <c r="AA190" s="1648"/>
      <c r="AB190" s="582"/>
      <c r="AC190" s="582"/>
      <c r="AD190" s="582"/>
      <c r="AE190" s="582"/>
      <c r="AF190" s="1657">
        <v>11</v>
      </c>
    </row>
    <row s="1657" customFormat="1" customHeight="1" ht="11.549999999999999">
      <c r="A191" s="1003"/>
      <c r="B191" s="1652"/>
      <c r="C191" s="1652"/>
      <c r="D191" s="367"/>
      <c r="K191" s="1176"/>
      <c r="L191" s="1652"/>
      <c r="M191" s="1652"/>
      <c r="N191" s="1176"/>
      <c r="O191" s="1176"/>
      <c r="P191" s="1176"/>
      <c r="Q191" s="1176"/>
      <c r="R191" s="1652"/>
      <c r="S191" s="1176"/>
      <c r="T191" s="1176"/>
      <c r="U191" s="560"/>
      <c r="V191" s="1176"/>
      <c r="W191" s="1176"/>
      <c r="X191" s="1176"/>
      <c r="Y191" s="1176"/>
      <c r="Z191" s="1176"/>
      <c r="AA191" s="1648"/>
      <c r="AB191" s="582"/>
      <c r="AC191" s="582"/>
      <c r="AD191" s="582"/>
      <c r="AE191" s="582"/>
      <c r="AF191" s="1657">
        <v>11</v>
      </c>
    </row>
    <row s="1657" customFormat="1" customHeight="1" ht="11.549999999999999">
      <c r="A192" s="1003"/>
      <c r="B192" s="1652"/>
      <c r="C192" s="1652"/>
      <c r="D192" s="367"/>
      <c r="K192" s="1176"/>
      <c r="L192" s="1652"/>
      <c r="M192" s="1652"/>
      <c r="N192" s="1176"/>
      <c r="O192" s="1176"/>
      <c r="P192" s="1176"/>
      <c r="Q192" s="1176"/>
      <c r="R192" s="1652"/>
      <c r="S192" s="1176"/>
      <c r="T192" s="1176"/>
      <c r="U192" s="560"/>
      <c r="V192" s="1176"/>
      <c r="W192" s="1176"/>
      <c r="X192" s="1176"/>
      <c r="Y192" s="1176"/>
      <c r="Z192" s="1176"/>
      <c r="AA192" s="1648"/>
      <c r="AB192" s="582"/>
      <c r="AC192" s="582"/>
      <c r="AD192" s="582"/>
      <c r="AE192" s="582"/>
      <c r="AF192" s="1657">
        <v>11</v>
      </c>
    </row>
    <row s="1657" customFormat="1" customHeight="1" ht="11.549999999999999">
      <c r="A193" s="1003"/>
      <c r="B193" s="1652"/>
      <c r="C193" s="1652"/>
      <c r="D193" s="367"/>
      <c r="K193" s="1176"/>
      <c r="L193" s="1652"/>
      <c r="M193" s="1652"/>
      <c r="N193" s="1176"/>
      <c r="O193" s="1176"/>
      <c r="P193" s="1176"/>
      <c r="Q193" s="1176"/>
      <c r="R193" s="1652"/>
      <c r="S193" s="1176"/>
      <c r="T193" s="1176"/>
      <c r="U193" s="560"/>
      <c r="V193" s="1176"/>
      <c r="W193" s="1176"/>
      <c r="X193" s="1176"/>
      <c r="Y193" s="1176"/>
      <c r="Z193" s="1176"/>
      <c r="AA193" s="1648"/>
      <c r="AB193" s="582"/>
      <c r="AC193" s="582"/>
      <c r="AD193" s="582"/>
      <c r="AE193" s="582"/>
      <c r="AF193" s="1657">
        <v>11</v>
      </c>
    </row>
    <row s="1657" customFormat="1" customHeight="1" ht="11.549999999999999">
      <c r="A194" s="1003"/>
      <c r="B194" s="1652"/>
      <c r="C194" s="1652"/>
      <c r="D194" s="367"/>
      <c r="K194" s="1176"/>
      <c r="L194" s="1652"/>
      <c r="M194" s="1652"/>
      <c r="N194" s="1176"/>
      <c r="O194" s="1176"/>
      <c r="P194" s="1176"/>
      <c r="Q194" s="1176"/>
      <c r="R194" s="1652"/>
      <c r="S194" s="1176"/>
      <c r="T194" s="1176"/>
      <c r="U194" s="560"/>
      <c r="V194" s="1176"/>
      <c r="W194" s="1176"/>
      <c r="X194" s="1176"/>
      <c r="Y194" s="1176"/>
      <c r="Z194" s="1176"/>
      <c r="AA194" s="1648"/>
      <c r="AB194" s="582"/>
      <c r="AC194" s="582"/>
      <c r="AD194" s="582"/>
      <c r="AE194" s="582"/>
      <c r="AF194" s="1657">
        <v>11</v>
      </c>
    </row>
    <row s="1657" customFormat="1" customHeight="1" ht="11.549999999999999">
      <c r="A195" s="1003"/>
      <c r="B195" s="1652"/>
      <c r="C195" s="1652"/>
      <c r="D195" s="367"/>
      <c r="K195" s="1176"/>
      <c r="L195" s="1652"/>
      <c r="M195" s="1652"/>
      <c r="N195" s="1176"/>
      <c r="O195" s="1176"/>
      <c r="P195" s="1176"/>
      <c r="Q195" s="1176"/>
      <c r="R195" s="1652"/>
      <c r="S195" s="1176"/>
      <c r="T195" s="1176"/>
      <c r="U195" s="560"/>
      <c r="V195" s="1176"/>
      <c r="W195" s="1176"/>
      <c r="X195" s="1176"/>
      <c r="Y195" s="1176"/>
      <c r="Z195" s="1176"/>
      <c r="AA195" s="1648"/>
      <c r="AB195" s="582"/>
      <c r="AC195" s="582"/>
      <c r="AD195" s="582"/>
      <c r="AE195" s="582"/>
      <c r="AF195" s="1657">
        <v>11</v>
      </c>
    </row>
    <row customHeight="1" ht="11.549999999999999">
      <c r="AF196" s="1647">
        <v>11</v>
      </c>
    </row>
    <row customHeight="1" ht="11.549999999999999">
      <c r="AF197" s="1647">
        <v>11</v>
      </c>
    </row>
    <row customHeight="1" ht="11.549999999999999">
      <c r="AF198" s="1647">
        <v>11</v>
      </c>
    </row>
    <row customHeight="1" ht="11.549999999999999">
      <c r="A199" s="1006"/>
      <c r="B199" s="1647"/>
      <c r="D199" s="1647"/>
      <c r="K199" s="1647"/>
      <c r="N199" s="1647"/>
      <c r="O199" s="1647"/>
      <c r="P199" s="1647"/>
      <c r="Q199" s="1647"/>
      <c r="S199" s="1647"/>
      <c r="T199" s="1647"/>
      <c r="U199" s="1647"/>
      <c r="V199" s="1647"/>
      <c r="W199" s="1647"/>
      <c r="X199" s="1647"/>
      <c r="Y199" s="1647"/>
      <c r="Z199" s="1647"/>
      <c r="AA199" s="1647"/>
      <c r="AB199" s="1647"/>
      <c r="AC199" s="1647"/>
      <c r="AD199" s="1647"/>
      <c r="AE199" s="1647"/>
      <c r="AF199" s="1647">
        <v>11</v>
      </c>
    </row>
    <row customHeight="1" ht="11.549999999999999">
      <c r="A200" s="1006"/>
      <c r="B200" s="1647"/>
      <c r="D200" s="1647"/>
      <c r="K200" s="1647"/>
      <c r="N200" s="1647"/>
      <c r="O200" s="1647"/>
      <c r="P200" s="1647"/>
      <c r="Q200" s="1647"/>
      <c r="S200" s="1647"/>
      <c r="T200" s="1647"/>
      <c r="U200" s="1647"/>
      <c r="V200" s="1647"/>
      <c r="W200" s="1647"/>
      <c r="X200" s="1647"/>
      <c r="Y200" s="1647"/>
      <c r="Z200" s="1647"/>
      <c r="AA200" s="1647"/>
      <c r="AB200" s="1647"/>
      <c r="AC200" s="1647"/>
      <c r="AD200" s="1647"/>
      <c r="AE200" s="1647"/>
      <c r="AF200" s="1647">
        <v>11</v>
      </c>
    </row>
    <row customHeight="1" ht="11.549999999999999">
      <c r="A201" s="1006"/>
      <c r="B201" s="1647"/>
      <c r="D201" s="1647"/>
      <c r="K201" s="1647"/>
      <c r="N201" s="1647"/>
      <c r="O201" s="1647"/>
      <c r="P201" s="1647"/>
      <c r="Q201" s="1647"/>
      <c r="S201" s="1647"/>
      <c r="T201" s="1647"/>
      <c r="U201" s="1647"/>
      <c r="V201" s="1647"/>
      <c r="W201" s="1647"/>
      <c r="X201" s="1647"/>
      <c r="Y201" s="1647"/>
      <c r="Z201" s="1647"/>
      <c r="AA201" s="1647"/>
      <c r="AB201" s="1647"/>
      <c r="AC201" s="1647"/>
      <c r="AD201" s="1647"/>
      <c r="AE201" s="1647"/>
      <c r="AF201" s="1647">
        <v>11</v>
      </c>
    </row>
    <row customHeight="1" ht="11.549999999999999">
      <c r="A202" s="1006"/>
      <c r="B202" s="1647"/>
      <c r="D202" s="1647"/>
      <c r="K202" s="1647"/>
      <c r="N202" s="1647"/>
      <c r="O202" s="1647"/>
      <c r="P202" s="1647"/>
      <c r="Q202" s="1647"/>
      <c r="S202" s="1647"/>
      <c r="T202" s="1647"/>
      <c r="U202" s="1647"/>
      <c r="V202" s="1647"/>
      <c r="W202" s="1647"/>
      <c r="X202" s="1647"/>
      <c r="Y202" s="1647"/>
      <c r="Z202" s="1647"/>
      <c r="AA202" s="1647"/>
      <c r="AB202" s="1647"/>
      <c r="AC202" s="1647"/>
      <c r="AD202" s="1647"/>
      <c r="AE202" s="1647"/>
      <c r="AF202" s="1647">
        <v>11</v>
      </c>
    </row>
    <row customHeight="1" ht="11.549999999999999">
      <c r="A203" s="1006"/>
      <c r="B203" s="1647"/>
      <c r="D203" s="1647"/>
      <c r="K203" s="1647"/>
      <c r="N203" s="1647"/>
      <c r="O203" s="1647"/>
      <c r="P203" s="1647"/>
      <c r="Q203" s="1647"/>
      <c r="S203" s="1647"/>
      <c r="T203" s="1647"/>
      <c r="U203" s="1647"/>
      <c r="V203" s="1647"/>
      <c r="W203" s="1647"/>
      <c r="X203" s="1647"/>
      <c r="Y203" s="1647"/>
      <c r="Z203" s="1647"/>
      <c r="AA203" s="1647"/>
      <c r="AB203" s="1647"/>
      <c r="AC203" s="1647"/>
      <c r="AD203" s="1647"/>
      <c r="AE203" s="1647"/>
      <c r="AF203" s="1647">
        <v>11</v>
      </c>
    </row>
    <row customHeight="1" ht="11.549999999999999">
      <c r="A204" s="1006"/>
      <c r="B204" s="1647"/>
      <c r="D204" s="1647"/>
      <c r="K204" s="1647"/>
      <c r="N204" s="1647"/>
      <c r="O204" s="1647"/>
      <c r="P204" s="1647"/>
      <c r="Q204" s="1647"/>
      <c r="S204" s="1647"/>
      <c r="T204" s="1647"/>
      <c r="U204" s="1647"/>
      <c r="V204" s="1647"/>
      <c r="W204" s="1647"/>
      <c r="X204" s="1647"/>
      <c r="Y204" s="1647"/>
      <c r="Z204" s="1647"/>
      <c r="AA204" s="1647"/>
      <c r="AB204" s="1647"/>
      <c r="AC204" s="1647"/>
      <c r="AD204" s="1647"/>
      <c r="AE204" s="1647"/>
      <c r="AF204" s="1647">
        <v>11</v>
      </c>
    </row>
    <row customHeight="1" ht="11.549999999999999">
      <c r="A205" s="1006"/>
      <c r="B205" s="1647"/>
      <c r="D205" s="1647"/>
      <c r="K205" s="1647"/>
      <c r="N205" s="1647"/>
      <c r="O205" s="1647"/>
      <c r="P205" s="1647"/>
      <c r="Q205" s="1647"/>
      <c r="S205" s="1647"/>
      <c r="T205" s="1647"/>
      <c r="U205" s="1647"/>
      <c r="V205" s="1647"/>
      <c r="W205" s="1647"/>
      <c r="X205" s="1647"/>
      <c r="Y205" s="1647"/>
      <c r="Z205" s="1647"/>
      <c r="AA205" s="1647"/>
      <c r="AB205" s="1647"/>
      <c r="AC205" s="1647"/>
      <c r="AD205" s="1647"/>
      <c r="AE205" s="1647"/>
      <c r="AF205" s="1647">
        <v>11</v>
      </c>
    </row>
    <row customHeight="1" ht="11.549999999999999">
      <c r="A206" s="1006"/>
      <c r="B206" s="1647"/>
      <c r="D206" s="1647"/>
      <c r="K206" s="1647"/>
      <c r="N206" s="1647"/>
      <c r="O206" s="1647"/>
      <c r="P206" s="1647"/>
      <c r="Q206" s="1647"/>
      <c r="S206" s="1647"/>
      <c r="T206" s="1647"/>
      <c r="U206" s="1647"/>
      <c r="V206" s="1647"/>
      <c r="W206" s="1647"/>
      <c r="X206" s="1647"/>
      <c r="Y206" s="1647"/>
      <c r="Z206" s="1647"/>
      <c r="AA206" s="1647"/>
      <c r="AB206" s="1647"/>
      <c r="AC206" s="1647"/>
      <c r="AD206" s="1647"/>
      <c r="AE206" s="1647"/>
      <c r="AF206" s="1647">
        <v>11</v>
      </c>
    </row>
    <row customHeight="1" ht="11.549999999999999">
      <c r="A207" s="1006"/>
      <c r="B207" s="1647"/>
      <c r="D207" s="1647"/>
      <c r="K207" s="1647"/>
      <c r="N207" s="1647"/>
      <c r="O207" s="1647"/>
      <c r="P207" s="1647"/>
      <c r="Q207" s="1647"/>
      <c r="S207" s="1647"/>
      <c r="T207" s="1647"/>
      <c r="U207" s="1647"/>
      <c r="V207" s="1647"/>
      <c r="W207" s="1647"/>
      <c r="X207" s="1647"/>
      <c r="Y207" s="1647"/>
      <c r="Z207" s="1647"/>
      <c r="AA207" s="1647"/>
      <c r="AB207" s="1647"/>
      <c r="AC207" s="1647"/>
      <c r="AD207" s="1647"/>
      <c r="AE207" s="1647"/>
      <c r="AF207" s="1647">
        <v>11</v>
      </c>
    </row>
    <row customHeight="1" ht="11.549999999999999">
      <c r="A208" s="1006"/>
      <c r="B208" s="1647"/>
      <c r="D208" s="1647"/>
      <c r="K208" s="1647"/>
      <c r="N208" s="1647"/>
      <c r="O208" s="1647"/>
      <c r="P208" s="1647"/>
      <c r="Q208" s="1647"/>
      <c r="S208" s="1647"/>
      <c r="T208" s="1647"/>
      <c r="U208" s="1647"/>
      <c r="V208" s="1647"/>
      <c r="W208" s="1647"/>
      <c r="X208" s="1647"/>
      <c r="Y208" s="1647"/>
      <c r="Z208" s="1647"/>
      <c r="AA208" s="1647"/>
      <c r="AB208" s="1647"/>
      <c r="AC208" s="1647"/>
      <c r="AD208" s="1647"/>
      <c r="AE208" s="1647"/>
      <c r="AF208" s="1647">
        <v>11</v>
      </c>
    </row>
    <row customHeight="1" ht="11.549999999999999">
      <c r="A209" s="1006"/>
      <c r="B209" s="1647"/>
      <c r="D209" s="1647"/>
      <c r="K209" s="1647"/>
      <c r="N209" s="1647"/>
      <c r="O209" s="1647"/>
      <c r="P209" s="1647"/>
      <c r="Q209" s="1647"/>
      <c r="S209" s="1647"/>
      <c r="T209" s="1647"/>
      <c r="U209" s="1647"/>
      <c r="V209" s="1647"/>
      <c r="W209" s="1647"/>
      <c r="X209" s="1647"/>
      <c r="Y209" s="1647"/>
      <c r="Z209" s="1647"/>
      <c r="AA209" s="1647"/>
      <c r="AB209" s="1647"/>
      <c r="AC209" s="1647"/>
      <c r="AD209" s="1647"/>
      <c r="AE209" s="1647"/>
      <c r="AF209" s="1647">
        <v>11</v>
      </c>
    </row>
    <row customHeight="1" ht="11.25" hidden="1">
      <c r="A210" s="1003" t="s">
        <v>85</v>
      </c>
      <c r="B210" s="1176">
        <v>0</v>
      </c>
      <c r="C210" s="1652">
        <v>0</v>
      </c>
      <c r="D210" s="1651">
        <v>3</v>
      </c>
      <c r="E210" s="1647">
        <v>7</v>
      </c>
      <c r="F210" s="1647">
        <v>54</v>
      </c>
      <c r="G210" s="1647">
        <v>10</v>
      </c>
      <c r="H210" s="1647">
        <v>0</v>
      </c>
      <c r="I210" s="1647">
        <v>40</v>
      </c>
      <c r="J210" s="1647">
        <v>102</v>
      </c>
      <c r="K210" s="1176">
        <v>9</v>
      </c>
      <c r="L210" s="1652">
        <v>5</v>
      </c>
      <c r="M210" s="1652">
        <v>3</v>
      </c>
      <c r="N210" s="1176">
        <v>3</v>
      </c>
      <c r="O210" s="1176">
        <v>3</v>
      </c>
      <c r="P210" s="1176">
        <v>3</v>
      </c>
      <c r="Q210" s="1176">
        <v>3</v>
      </c>
      <c r="R210" s="1652">
        <v>10</v>
      </c>
      <c r="S210" s="1176">
        <v>34</v>
      </c>
      <c r="T210" s="1176">
        <v>9</v>
      </c>
      <c r="U210" s="560">
        <v>8</v>
      </c>
      <c r="V210" s="1176">
        <v>8</v>
      </c>
      <c r="W210" s="1176">
        <v>8</v>
      </c>
      <c r="X210" s="1176">
        <v>8</v>
      </c>
      <c r="Y210" s="1176">
        <v>8</v>
      </c>
      <c r="Z210" s="1176">
        <v>8</v>
      </c>
      <c r="AA210" s="1648">
        <v>8</v>
      </c>
      <c r="AB210" s="1648">
        <v>8</v>
      </c>
      <c r="AC210" s="1648">
        <v>8</v>
      </c>
      <c r="AD210" s="1648">
        <v>8</v>
      </c>
      <c r="AE210" s="1648">
        <v>8</v>
      </c>
      <c r="AF210" s="164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E6C78-8245-B01D-18C1-E1606D280CF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82" width="9.140625" hidden="1" customWidth="1"/>
    <col min="2" max="2" style="1658" width="3.57421875" hidden="1" customWidth="1"/>
    <col min="3" max="3" style="1651" width="3.00390625" customWidth="1"/>
    <col min="4" max="4" style="1651" width="7.00390625" customWidth="1"/>
    <col min="5" max="5" style="1651" width="69.00390625" customWidth="1"/>
    <col min="6" max="6" style="1651" width="10.00390625" customWidth="1"/>
    <col min="7" max="8" style="1651" width="44.00390625" hidden="1" customWidth="1"/>
    <col min="9" max="9" style="1651" width="44.00390625" customWidth="1"/>
    <col min="10" max="10" style="1651" width="43.00390625" customWidth="1"/>
    <col min="11" max="11" style="1651" width="73.00390625" customWidth="1"/>
    <col min="12" max="12" style="1651" width="3.00390625" customWidth="1"/>
    <col min="13" max="23" style="1651" width="10.00390625" customWidth="1"/>
    <col min="24" max="24" style="1651" width="10.57421875" hidden="1"/>
  </cols>
  <sheetData>
    <row s="1382" customFormat="1" customHeight="1" ht="22.5" hidden="1">
      <c r="A1" s="552"/>
      <c r="B1" s="527"/>
      <c r="G1" s="433">
        <v>4</v>
      </c>
      <c r="I1" s="433">
        <v>4</v>
      </c>
      <c r="K1" s="433">
        <v>5</v>
      </c>
      <c r="X1" s="433" t="s">
        <v>14</v>
      </c>
    </row>
    <row customHeight="1" ht="3">
      <c r="X2" s="521">
        <v>3</v>
      </c>
    </row>
    <row customHeight="1" ht="78.75">
      <c r="D3" s="225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5"/>
      <c r="F3" s="2256"/>
      <c r="X3" s="521">
        <v>75</v>
      </c>
    </row>
    <row s="1651" customFormat="1" customHeight="1" ht="21">
      <c r="A4" s="967"/>
      <c r="B4" s="527"/>
      <c r="D4" s="2230" t="str">
        <f>IF(org=0,"Не определено",org)</f>
        <v>КГУП "Примтеплоэнерго"</v>
      </c>
      <c r="E4" s="2231"/>
      <c r="F4" s="2232"/>
      <c r="X4" s="774">
        <v>20</v>
      </c>
    </row>
    <row customHeight="1" ht="11.549999999999999">
      <c r="C5" s="525"/>
      <c r="D5" s="604"/>
      <c r="E5" s="604"/>
      <c r="F5" s="604"/>
      <c r="G5" s="604"/>
      <c r="H5" s="768"/>
      <c r="I5" s="604"/>
      <c r="J5" s="768"/>
      <c r="K5" s="604"/>
      <c r="X5" s="521">
        <v>11</v>
      </c>
    </row>
    <row customHeight="1" ht="1.05">
      <c r="C6" s="525"/>
      <c r="D6" s="525"/>
      <c r="E6" s="538"/>
      <c r="F6" s="630"/>
      <c r="G6" s="1038"/>
      <c r="H6" s="1038"/>
      <c r="I6" s="1038" t="s">
        <v>186</v>
      </c>
      <c r="J6" s="1038"/>
      <c r="X6" s="521">
        <v>1</v>
      </c>
    </row>
    <row customHeight="1" ht="11.549999999999999">
      <c r="D7" s="727"/>
      <c r="E7" s="2383" t="s">
        <v>178</v>
      </c>
      <c r="F7" s="2384"/>
      <c r="G7" s="2409" t="str">
        <f>IF(G6="","",INDEX(DIFFERENTIATION_UNMERGE_VD,MATCH(G6,DIFFERENTIATION_ID_DIFF,0)))</f>
        <v/>
      </c>
      <c r="H7" s="2410"/>
      <c r="I7" s="2409">
        <f>IF(I6="","",INDEX(DIFFERENTIATION_UNMERGE_VD,MATCH(I6,DIFFERENTIATION_ID_DIFF,0)))</f>
        <v>0</v>
      </c>
      <c r="J7" s="2410"/>
      <c r="K7" s="2191"/>
      <c r="L7" s="525"/>
      <c r="X7" s="521">
        <v>11</v>
      </c>
    </row>
    <row customHeight="1" ht="11.549999999999999">
      <c r="A8" s="720"/>
      <c r="D8" s="727"/>
      <c r="E8" s="2383" t="s">
        <v>717</v>
      </c>
      <c r="F8" s="2384"/>
      <c r="G8" s="2409" t="str">
        <f>IF(G6="","",INDEX(DIFFERENTIATION_UNMERGE_AREA,MATCH(G6,DIFFERENTIATION_ID_DIFF,0)))</f>
        <v/>
      </c>
      <c r="H8" s="2410"/>
      <c r="I8" s="2409" t="str">
        <f>IF(I6="","",INDEX(DIFFERENTIATION_UNMERGE_AREA,MATCH(I6,DIFFERENTIATION_ID_DIFF,0)))</f>
        <v/>
      </c>
      <c r="J8" s="2410"/>
      <c r="K8" s="2215"/>
      <c r="L8" s="525"/>
      <c r="X8" s="521">
        <v>11</v>
      </c>
    </row>
    <row customHeight="1" ht="11.549999999999999">
      <c r="A9" s="720"/>
      <c r="D9" s="727"/>
      <c r="E9" s="2383" t="s">
        <v>718</v>
      </c>
      <c r="F9" s="2384"/>
      <c r="G9" s="2409" t="str">
        <f>IF(G6="","",INDEX(DIFFERENTIATION_UNMERGE_SYSTEM,MATCH(G6,DIFFERENTIATION_ID_DIFF,0)))</f>
        <v/>
      </c>
      <c r="H9" s="2410"/>
      <c r="I9" s="2409" t="str">
        <f>IF(I6="","",INDEX(DIFFERENTIATION_UNMERGE_SYSTEM,MATCH(I6,DIFFERENTIATION_ID_DIFF,0)))</f>
        <v>без дифференциации</v>
      </c>
      <c r="J9" s="2410"/>
      <c r="K9" s="2215"/>
      <c r="L9" s="525"/>
      <c r="X9" s="521">
        <v>11</v>
      </c>
    </row>
    <row s="1651" customFormat="1" customHeight="1" ht="11.549999999999999">
      <c r="A10" s="1037"/>
      <c r="B10" s="527"/>
      <c r="D10" s="2117" t="s">
        <v>453</v>
      </c>
      <c r="E10" s="2118"/>
      <c r="F10" s="2118"/>
      <c r="G10" s="2118"/>
      <c r="H10" s="2118"/>
      <c r="I10" s="2118"/>
      <c r="J10" s="2119"/>
      <c r="K10" s="2215"/>
      <c r="L10" s="525"/>
      <c r="X10" s="774">
        <v>11</v>
      </c>
    </row>
    <row s="1651" customFormat="1" customHeight="1" ht="24">
      <c r="A11" s="2401"/>
      <c r="B11" s="2401"/>
      <c r="C11" s="673"/>
      <c r="D11" s="719" t="s">
        <v>91</v>
      </c>
      <c r="E11" s="721" t="s">
        <v>959</v>
      </c>
      <c r="F11" s="721" t="s">
        <v>719</v>
      </c>
      <c r="G11" s="481" t="s">
        <v>456</v>
      </c>
      <c r="H11" s="481" t="s">
        <v>543</v>
      </c>
      <c r="I11" s="823" t="s">
        <v>456</v>
      </c>
      <c r="J11" s="824" t="s">
        <v>543</v>
      </c>
      <c r="K11" s="2248"/>
      <c r="L11" s="674"/>
      <c r="X11" s="525">
        <v>23</v>
      </c>
    </row>
    <row s="1658" customFormat="1" customHeight="1" ht="10.5">
      <c r="A12" s="968"/>
      <c r="D12" s="1041" t="s">
        <v>141</v>
      </c>
      <c r="E12" s="1041" t="s">
        <v>107</v>
      </c>
      <c r="F12" s="1041" t="s">
        <v>93</v>
      </c>
      <c r="G12" s="1042" t="str">
        <f>G1&amp;".1"</f>
        <v>4.1</v>
      </c>
      <c r="H12" s="1042" t="str">
        <f>G1&amp;".2"</f>
        <v>4.2</v>
      </c>
      <c r="I12" s="1042" t="str">
        <f>I1&amp;".1"</f>
        <v>4.1</v>
      </c>
      <c r="J12" s="1042" t="str">
        <f>I1&amp;".2"</f>
        <v>4.2</v>
      </c>
      <c r="K12" s="1042"/>
      <c r="X12" s="527">
        <v>10</v>
      </c>
    </row>
    <row customHeight="1" ht="22.5">
      <c r="A13" s="2408" t="s">
        <v>960</v>
      </c>
      <c r="D13" s="969" t="s">
        <v>141</v>
      </c>
      <c r="E13" s="295" t="s">
        <v>961</v>
      </c>
      <c r="F13" s="676" t="s">
        <v>962</v>
      </c>
      <c r="G13" s="573"/>
      <c r="H13" s="677"/>
      <c r="I13" s="573"/>
      <c r="J13" s="677"/>
      <c r="K13" s="305" t="s">
        <v>963</v>
      </c>
      <c r="L13" s="736"/>
      <c r="X13" s="521">
        <v>0</v>
      </c>
    </row>
    <row customHeight="1" ht="22.5">
      <c r="A14" s="2408"/>
      <c r="D14" s="555" t="s">
        <v>107</v>
      </c>
      <c r="E14" s="295" t="s">
        <v>964</v>
      </c>
      <c r="F14" s="676" t="s">
        <v>965</v>
      </c>
      <c r="G14" s="573"/>
      <c r="H14" s="678"/>
      <c r="I14" s="573"/>
      <c r="J14" s="678"/>
      <c r="K14" s="305" t="s">
        <v>966</v>
      </c>
      <c r="L14" s="736"/>
      <c r="X14" s="521">
        <v>0</v>
      </c>
    </row>
    <row s="1651" customFormat="1" customHeight="1" ht="78.75">
      <c r="A15" s="2408"/>
      <c r="B15" s="527"/>
      <c r="D15" s="969" t="s">
        <v>93</v>
      </c>
      <c r="E15" s="723" t="s">
        <v>967</v>
      </c>
      <c r="F15" s="966" t="s">
        <v>459</v>
      </c>
      <c r="G15" s="966" t="s">
        <v>459</v>
      </c>
      <c r="H15" s="122"/>
      <c r="I15" s="966" t="s">
        <v>459</v>
      </c>
      <c r="J15" s="122"/>
      <c r="K15" s="305" t="s">
        <v>968</v>
      </c>
      <c r="L15" s="736"/>
      <c r="X15" s="774">
        <v>0</v>
      </c>
    </row>
    <row s="1651" customFormat="1" customHeight="1" ht="22.5">
      <c r="A16" s="2408"/>
      <c r="B16" s="527"/>
      <c r="D16" s="969" t="s">
        <v>477</v>
      </c>
      <c r="E16" s="970" t="s">
        <v>969</v>
      </c>
      <c r="F16" s="966" t="s">
        <v>970</v>
      </c>
      <c r="G16" s="833"/>
      <c r="H16" s="122"/>
      <c r="I16" s="833"/>
      <c r="J16" s="122"/>
      <c r="K16" s="305"/>
      <c r="L16" s="736"/>
      <c r="X16" s="774">
        <v>0</v>
      </c>
    </row>
    <row s="1651" customFormat="1" customHeight="1" ht="22.5">
      <c r="A17" s="2408"/>
      <c r="B17" s="527"/>
      <c r="D17" s="969" t="s">
        <v>485</v>
      </c>
      <c r="E17" s="970" t="s">
        <v>971</v>
      </c>
      <c r="F17" s="966" t="s">
        <v>972</v>
      </c>
      <c r="G17" s="833"/>
      <c r="H17" s="122"/>
      <c r="I17" s="833"/>
      <c r="J17" s="122"/>
      <c r="K17" s="305"/>
      <c r="L17" s="736"/>
      <c r="X17" s="774">
        <v>0</v>
      </c>
    </row>
    <row s="1651" customFormat="1" customHeight="1" ht="33.75">
      <c r="A18" s="2408"/>
      <c r="B18" s="527"/>
      <c r="D18" s="969" t="s">
        <v>487</v>
      </c>
      <c r="E18" s="970" t="s">
        <v>973</v>
      </c>
      <c r="F18" s="966" t="s">
        <v>724</v>
      </c>
      <c r="G18" s="696"/>
      <c r="H18" s="122"/>
      <c r="I18" s="696"/>
      <c r="J18" s="122"/>
      <c r="K18" s="305"/>
      <c r="L18" s="736"/>
      <c r="X18" s="774">
        <v>0</v>
      </c>
    </row>
    <row customHeight="1" ht="101.25">
      <c r="A19" s="2408"/>
      <c r="D19" s="969" t="s">
        <v>94</v>
      </c>
      <c r="E19" s="295" t="s">
        <v>974</v>
      </c>
      <c r="F19" s="676" t="s">
        <v>699</v>
      </c>
      <c r="G19" s="679"/>
      <c r="H19" s="678"/>
      <c r="I19" s="971"/>
      <c r="J19" s="678"/>
      <c r="K19" s="305" t="s">
        <v>975</v>
      </c>
      <c r="L19" s="736"/>
      <c r="X19" s="521">
        <v>0</v>
      </c>
    </row>
    <row s="1651" customFormat="1" customHeight="1" ht="18.75">
      <c r="A20" s="2408"/>
      <c r="C20" s="972"/>
      <c r="D20" s="969" t="s">
        <v>906</v>
      </c>
      <c r="E20" s="970" t="s">
        <v>976</v>
      </c>
      <c r="F20" s="966" t="s">
        <v>459</v>
      </c>
      <c r="G20" s="966" t="s">
        <v>459</v>
      </c>
      <c r="H20" s="965" t="s">
        <v>459</v>
      </c>
      <c r="I20" s="966" t="s">
        <v>459</v>
      </c>
      <c r="J20" s="965" t="s">
        <v>459</v>
      </c>
      <c r="K20" s="964"/>
      <c r="L20" s="736"/>
      <c r="W20" s="691"/>
      <c r="X20" s="774">
        <v>0</v>
      </c>
    </row>
    <row s="1651" customFormat="1" customHeight="1" ht="33.75">
      <c r="A21" s="2408"/>
      <c r="C21" s="972"/>
      <c r="D21" s="969" t="s">
        <v>909</v>
      </c>
      <c r="E21" s="592" t="s">
        <v>977</v>
      </c>
      <c r="F21" s="966" t="s">
        <v>978</v>
      </c>
      <c r="G21" s="696"/>
      <c r="H21" s="122"/>
      <c r="I21" s="696"/>
      <c r="J21" s="122"/>
      <c r="K21" s="964"/>
      <c r="L21" s="736"/>
      <c r="W21" s="691"/>
      <c r="X21" s="774">
        <v>0</v>
      </c>
    </row>
    <row s="1651" customFormat="1" customHeight="1" ht="33.75">
      <c r="A22" s="2408"/>
      <c r="C22" s="972"/>
      <c r="D22" s="969" t="s">
        <v>912</v>
      </c>
      <c r="E22" s="592" t="s">
        <v>979</v>
      </c>
      <c r="F22" s="966" t="s">
        <v>980</v>
      </c>
      <c r="G22" s="696"/>
      <c r="H22" s="122"/>
      <c r="I22" s="696"/>
      <c r="J22" s="122"/>
      <c r="K22" s="964"/>
      <c r="L22" s="736"/>
      <c r="W22" s="691"/>
      <c r="X22" s="774">
        <v>0</v>
      </c>
    </row>
    <row s="1651" customFormat="1" customHeight="1" ht="22.5">
      <c r="A23" s="2408"/>
      <c r="C23" s="972"/>
      <c r="D23" s="969" t="s">
        <v>948</v>
      </c>
      <c r="E23" s="970" t="s">
        <v>981</v>
      </c>
      <c r="F23" s="966" t="s">
        <v>459</v>
      </c>
      <c r="G23" s="966" t="s">
        <v>459</v>
      </c>
      <c r="H23" s="965" t="s">
        <v>459</v>
      </c>
      <c r="I23" s="966" t="s">
        <v>459</v>
      </c>
      <c r="J23" s="965" t="s">
        <v>459</v>
      </c>
      <c r="K23" s="964"/>
      <c r="L23" s="736"/>
      <c r="W23" s="691"/>
      <c r="X23" s="774">
        <v>0</v>
      </c>
    </row>
    <row s="1651" customFormat="1" customHeight="1" ht="22.5">
      <c r="A24" s="2408"/>
      <c r="C24" s="972"/>
      <c r="D24" s="969" t="s">
        <v>982</v>
      </c>
      <c r="E24" s="592" t="s">
        <v>983</v>
      </c>
      <c r="F24" s="966" t="s">
        <v>984</v>
      </c>
      <c r="G24" s="696"/>
      <c r="H24" s="702"/>
      <c r="I24" s="696"/>
      <c r="J24" s="702"/>
      <c r="K24" s="964"/>
      <c r="L24" s="736"/>
      <c r="W24" s="691"/>
      <c r="X24" s="774">
        <v>0</v>
      </c>
    </row>
    <row s="1651" customFormat="1" customHeight="1" ht="22.5">
      <c r="A25" s="2408"/>
      <c r="C25" s="972"/>
      <c r="D25" s="969" t="s">
        <v>985</v>
      </c>
      <c r="E25" s="592" t="s">
        <v>986</v>
      </c>
      <c r="F25" s="966" t="s">
        <v>459</v>
      </c>
      <c r="G25" s="966" t="s">
        <v>459</v>
      </c>
      <c r="H25" s="965" t="s">
        <v>459</v>
      </c>
      <c r="I25" s="966" t="s">
        <v>459</v>
      </c>
      <c r="J25" s="965" t="s">
        <v>459</v>
      </c>
      <c r="K25" s="964"/>
      <c r="L25" s="736"/>
      <c r="W25" s="691"/>
      <c r="X25" s="774">
        <v>0</v>
      </c>
    </row>
    <row s="1651" customFormat="1" customHeight="1" ht="18.75">
      <c r="A26" s="2408"/>
      <c r="C26" s="972"/>
      <c r="D26" s="969" t="s">
        <v>987</v>
      </c>
      <c r="E26" s="569" t="s">
        <v>988</v>
      </c>
      <c r="F26" s="966" t="s">
        <v>989</v>
      </c>
      <c r="G26" s="696"/>
      <c r="H26" s="702"/>
      <c r="I26" s="696"/>
      <c r="J26" s="702"/>
      <c r="K26" s="964"/>
      <c r="L26" s="736"/>
      <c r="W26" s="691"/>
      <c r="X26" s="774">
        <v>0</v>
      </c>
    </row>
    <row s="1651" customFormat="1" customHeight="1" ht="18.75">
      <c r="A27" s="2408"/>
      <c r="C27" s="972"/>
      <c r="D27" s="969" t="s">
        <v>990</v>
      </c>
      <c r="E27" s="569" t="s">
        <v>991</v>
      </c>
      <c r="F27" s="966" t="s">
        <v>992</v>
      </c>
      <c r="G27" s="696"/>
      <c r="H27" s="702"/>
      <c r="I27" s="696"/>
      <c r="J27" s="702"/>
      <c r="K27" s="964"/>
      <c r="L27" s="736"/>
      <c r="W27" s="691"/>
      <c r="X27" s="774">
        <v>0</v>
      </c>
    </row>
    <row s="1651" customFormat="1" customHeight="1" ht="18.75">
      <c r="A28" s="2408"/>
      <c r="C28" s="972"/>
      <c r="D28" s="969" t="s">
        <v>993</v>
      </c>
      <c r="E28" s="592" t="s">
        <v>994</v>
      </c>
      <c r="F28" s="966" t="s">
        <v>459</v>
      </c>
      <c r="G28" s="966" t="s">
        <v>459</v>
      </c>
      <c r="H28" s="965" t="s">
        <v>459</v>
      </c>
      <c r="I28" s="966" t="s">
        <v>459</v>
      </c>
      <c r="J28" s="965" t="s">
        <v>459</v>
      </c>
      <c r="K28" s="964"/>
      <c r="L28" s="736"/>
      <c r="W28" s="691"/>
      <c r="X28" s="774">
        <v>0</v>
      </c>
    </row>
    <row s="1651" customFormat="1" customHeight="1" ht="18.75">
      <c r="A29" s="2408"/>
      <c r="C29" s="972"/>
      <c r="D29" s="969" t="s">
        <v>995</v>
      </c>
      <c r="E29" s="569" t="s">
        <v>988</v>
      </c>
      <c r="F29" s="966" t="s">
        <v>996</v>
      </c>
      <c r="G29" s="696"/>
      <c r="H29" s="702"/>
      <c r="I29" s="696"/>
      <c r="J29" s="702"/>
      <c r="K29" s="964"/>
      <c r="L29" s="736"/>
      <c r="W29" s="691"/>
      <c r="X29" s="774">
        <v>0</v>
      </c>
    </row>
    <row s="1651" customFormat="1" customHeight="1" ht="18.75">
      <c r="A30" s="2408"/>
      <c r="C30" s="972"/>
      <c r="D30" s="969" t="s">
        <v>997</v>
      </c>
      <c r="E30" s="569" t="s">
        <v>998</v>
      </c>
      <c r="F30" s="966" t="s">
        <v>999</v>
      </c>
      <c r="G30" s="696"/>
      <c r="H30" s="702"/>
      <c r="I30" s="696"/>
      <c r="J30" s="702"/>
      <c r="K30" s="964"/>
      <c r="L30" s="736"/>
      <c r="W30" s="691"/>
      <c r="X30" s="774">
        <v>0</v>
      </c>
    </row>
    <row customHeight="1" ht="126.75">
      <c r="A31" s="2408"/>
      <c r="D31" s="969" t="s">
        <v>122</v>
      </c>
      <c r="E31" s="295" t="s">
        <v>1000</v>
      </c>
      <c r="F31" s="676" t="s">
        <v>711</v>
      </c>
      <c r="G31" s="573"/>
      <c r="H31" s="678"/>
      <c r="I31" s="573"/>
      <c r="J31" s="678"/>
      <c r="K31" s="305" t="s">
        <v>1001</v>
      </c>
      <c r="L31" s="736"/>
      <c r="X31" s="521">
        <v>0</v>
      </c>
    </row>
    <row customHeight="1" ht="56.25">
      <c r="A32" s="2408"/>
      <c r="D32" s="969" t="s">
        <v>95</v>
      </c>
      <c r="E32" s="295" t="s">
        <v>1002</v>
      </c>
      <c r="F32" s="555" t="s">
        <v>972</v>
      </c>
      <c r="G32" s="573"/>
      <c r="H32" s="678"/>
      <c r="I32" s="573"/>
      <c r="J32" s="678"/>
      <c r="K32" s="305" t="s">
        <v>1003</v>
      </c>
      <c r="L32" s="736"/>
      <c r="X32" s="521">
        <v>0</v>
      </c>
    </row>
    <row customHeight="1" ht="11.25">
      <c r="A33" s="2408"/>
      <c r="E33" s="680"/>
      <c r="F33" s="197"/>
      <c r="G33" s="197"/>
      <c r="H33" s="197"/>
      <c r="I33" s="197"/>
      <c r="J33" s="197"/>
      <c r="K33" s="197"/>
      <c r="X33" s="521">
        <v>0</v>
      </c>
    </row>
    <row customHeight="1" ht="12.75">
      <c r="A34" s="2408"/>
      <c r="D34" s="81">
        <v>1</v>
      </c>
      <c r="E34" s="351" t="s">
        <v>1004</v>
      </c>
      <c r="X34" s="521">
        <v>0</v>
      </c>
    </row>
    <row customHeight="1" ht="11.25">
      <c r="A35" s="2408"/>
      <c r="D35" s="385"/>
      <c r="E35" s="351" t="s">
        <v>1005</v>
      </c>
      <c r="X35" s="521">
        <v>0</v>
      </c>
    </row>
    <row s="1651" customFormat="1" customHeight="1" ht="11.549999999999999">
      <c r="A36" s="1049"/>
      <c r="B36" s="534"/>
      <c r="D36" s="1050"/>
      <c r="E36" s="1051"/>
      <c r="X36" s="525">
        <v>11</v>
      </c>
    </row>
    <row s="1651" customFormat="1" customHeight="1" ht="22.5" hidden="1">
      <c r="A37" s="2408" t="s">
        <v>1006</v>
      </c>
      <c r="B37" s="527"/>
      <c r="D37" s="969">
        <v>1</v>
      </c>
      <c r="E37" s="723" t="s">
        <v>1007</v>
      </c>
      <c r="F37" s="676" t="s">
        <v>962</v>
      </c>
      <c r="G37" s="573"/>
      <c r="H37" s="535"/>
      <c r="I37" s="573"/>
      <c r="J37" s="535"/>
      <c r="K37" s="305" t="s">
        <v>1008</v>
      </c>
      <c r="X37" s="774">
        <v>0</v>
      </c>
    </row>
    <row s="1651" customFormat="1" customHeight="1" ht="22.5" hidden="1">
      <c r="A38" s="2408"/>
      <c r="B38" s="527"/>
      <c r="D38" s="685" t="s">
        <v>107</v>
      </c>
      <c r="E38" s="1048" t="s">
        <v>1009</v>
      </c>
      <c r="F38" s="1052" t="s">
        <v>699</v>
      </c>
      <c r="G38" s="1052" t="s">
        <v>699</v>
      </c>
      <c r="H38" s="1046"/>
      <c r="I38" s="1052" t="s">
        <v>699</v>
      </c>
      <c r="J38" s="1046"/>
      <c r="K38" s="1047"/>
      <c r="X38" s="774">
        <v>0</v>
      </c>
    </row>
    <row s="1651" customFormat="1" customHeight="1" ht="33.75" hidden="1">
      <c r="A39" s="2408"/>
      <c r="B39" s="527"/>
      <c r="D39" s="681" t="s">
        <v>864</v>
      </c>
      <c r="E39" s="739" t="s">
        <v>1010</v>
      </c>
      <c r="F39" s="676" t="s">
        <v>1011</v>
      </c>
      <c r="G39" s="684"/>
      <c r="H39" s="1039"/>
      <c r="I39" s="684"/>
      <c r="J39" s="1039"/>
      <c r="K39" s="305" t="s">
        <v>1012</v>
      </c>
      <c r="X39" s="774">
        <v>0</v>
      </c>
    </row>
    <row s="1651" customFormat="1" customHeight="1" ht="33.75" hidden="1">
      <c r="A40" s="2408"/>
      <c r="B40" s="527"/>
      <c r="D40" s="681" t="s">
        <v>867</v>
      </c>
      <c r="E40" s="739" t="s">
        <v>1013</v>
      </c>
      <c r="F40" s="1043" t="s">
        <v>1014</v>
      </c>
      <c r="G40" s="757"/>
      <c r="H40" s="1039"/>
      <c r="I40" s="757"/>
      <c r="J40" s="1039"/>
      <c r="K40" s="305" t="s">
        <v>1015</v>
      </c>
      <c r="X40" s="774">
        <v>0</v>
      </c>
    </row>
    <row s="1651" customFormat="1" customHeight="1" ht="22.5" hidden="1">
      <c r="A41" s="2408"/>
      <c r="B41" s="527"/>
      <c r="D41" s="681" t="s">
        <v>93</v>
      </c>
      <c r="E41" s="738" t="s">
        <v>1016</v>
      </c>
      <c r="F41" s="676" t="s">
        <v>699</v>
      </c>
      <c r="G41" s="676" t="s">
        <v>699</v>
      </c>
      <c r="H41" s="1040"/>
      <c r="I41" s="676" t="s">
        <v>699</v>
      </c>
      <c r="J41" s="1040"/>
      <c r="K41" s="318"/>
      <c r="X41" s="774">
        <v>0</v>
      </c>
    </row>
    <row s="1651" customFormat="1" customHeight="1" ht="45" hidden="1">
      <c r="A42" s="2408"/>
      <c r="B42" s="527"/>
      <c r="D42" s="681" t="s">
        <v>477</v>
      </c>
      <c r="E42" s="739" t="s">
        <v>1017</v>
      </c>
      <c r="F42" s="676" t="s">
        <v>711</v>
      </c>
      <c r="G42" s="573"/>
      <c r="H42" s="1040"/>
      <c r="I42" s="573"/>
      <c r="J42" s="1040"/>
      <c r="K42" s="318" t="s">
        <v>1018</v>
      </c>
      <c r="X42" s="774">
        <v>0</v>
      </c>
    </row>
    <row s="1651" customFormat="1" customHeight="1" ht="45" hidden="1">
      <c r="A43" s="2408"/>
      <c r="B43" s="527"/>
      <c r="D43" s="681" t="s">
        <v>485</v>
      </c>
      <c r="E43" s="683" t="s">
        <v>1019</v>
      </c>
      <c r="F43" s="1044" t="s">
        <v>711</v>
      </c>
      <c r="G43" s="758"/>
      <c r="H43" s="1039"/>
      <c r="I43" s="758"/>
      <c r="J43" s="1039"/>
      <c r="K43" s="318" t="s">
        <v>1020</v>
      </c>
      <c r="X43" s="774">
        <v>0</v>
      </c>
    </row>
    <row s="1651" customFormat="1" customHeight="1" ht="11.25" hidden="1">
      <c r="A44" s="2408"/>
      <c r="B44" s="527"/>
      <c r="D44" s="681" t="s">
        <v>94</v>
      </c>
      <c r="E44" s="682" t="s">
        <v>1021</v>
      </c>
      <c r="F44" s="676" t="s">
        <v>1011</v>
      </c>
      <c r="G44" s="684"/>
      <c r="H44" s="1039"/>
      <c r="I44" s="684"/>
      <c r="J44" s="1039"/>
      <c r="K44" s="305"/>
      <c r="X44" s="774">
        <v>0</v>
      </c>
    </row>
    <row s="1651" customFormat="1" customHeight="1" ht="11.25" hidden="1">
      <c r="A45" s="2408"/>
      <c r="B45" s="527"/>
      <c r="D45" s="681" t="s">
        <v>906</v>
      </c>
      <c r="E45" s="683" t="s">
        <v>1022</v>
      </c>
      <c r="F45" s="676" t="s">
        <v>1011</v>
      </c>
      <c r="G45" s="684"/>
      <c r="H45" s="1039"/>
      <c r="I45" s="684"/>
      <c r="J45" s="1039"/>
      <c r="K45" s="305"/>
      <c r="X45" s="774">
        <v>0</v>
      </c>
    </row>
    <row s="1651" customFormat="1" customHeight="1" ht="11.25" hidden="1">
      <c r="A46" s="2408"/>
      <c r="B46" s="527"/>
      <c r="D46" s="681" t="s">
        <v>948</v>
      </c>
      <c r="E46" s="683" t="s">
        <v>1023</v>
      </c>
      <c r="F46" s="676" t="s">
        <v>1011</v>
      </c>
      <c r="G46" s="684"/>
      <c r="H46" s="1039"/>
      <c r="I46" s="684"/>
      <c r="J46" s="1039"/>
      <c r="K46" s="305"/>
      <c r="X46" s="774">
        <v>0</v>
      </c>
    </row>
    <row s="1651" customFormat="1" customHeight="1" ht="11.25" hidden="1">
      <c r="A47" s="2408"/>
      <c r="B47" s="527"/>
      <c r="D47" s="681" t="s">
        <v>951</v>
      </c>
      <c r="E47" s="683" t="s">
        <v>1024</v>
      </c>
      <c r="F47" s="676" t="s">
        <v>1011</v>
      </c>
      <c r="G47" s="684"/>
      <c r="H47" s="1039"/>
      <c r="I47" s="684"/>
      <c r="J47" s="1039"/>
      <c r="K47" s="305"/>
      <c r="X47" s="774">
        <v>0</v>
      </c>
    </row>
    <row s="1651" customFormat="1" customHeight="1" ht="11.25" hidden="1">
      <c r="A48" s="2408"/>
      <c r="B48" s="527"/>
      <c r="D48" s="681" t="s">
        <v>1025</v>
      </c>
      <c r="E48" s="687" t="s">
        <v>1026</v>
      </c>
      <c r="F48" s="676" t="s">
        <v>1011</v>
      </c>
      <c r="G48" s="684"/>
      <c r="H48" s="1039"/>
      <c r="I48" s="684"/>
      <c r="J48" s="1039"/>
      <c r="K48" s="305"/>
      <c r="X48" s="774">
        <v>0</v>
      </c>
    </row>
    <row s="1651" customFormat="1" customHeight="1" ht="11.25" hidden="1">
      <c r="A49" s="2408"/>
      <c r="B49" s="527"/>
      <c r="D49" s="681" t="s">
        <v>1027</v>
      </c>
      <c r="E49" s="687" t="s">
        <v>1028</v>
      </c>
      <c r="F49" s="676" t="s">
        <v>1011</v>
      </c>
      <c r="G49" s="684"/>
      <c r="H49" s="1039"/>
      <c r="I49" s="684"/>
      <c r="J49" s="1039"/>
      <c r="K49" s="305"/>
      <c r="X49" s="774">
        <v>0</v>
      </c>
    </row>
    <row s="1651" customFormat="1" customHeight="1" ht="11.25" hidden="1">
      <c r="A50" s="2408"/>
      <c r="B50" s="527"/>
      <c r="D50" s="681" t="s">
        <v>1029</v>
      </c>
      <c r="E50" s="683" t="s">
        <v>1030</v>
      </c>
      <c r="F50" s="676" t="s">
        <v>1011</v>
      </c>
      <c r="G50" s="684"/>
      <c r="H50" s="1039"/>
      <c r="I50" s="684"/>
      <c r="J50" s="1039"/>
      <c r="K50" s="305"/>
      <c r="X50" s="774">
        <v>0</v>
      </c>
    </row>
    <row s="1651" customFormat="1" customHeight="1" ht="11.25" hidden="1">
      <c r="A51" s="2408"/>
      <c r="B51" s="527"/>
      <c r="D51" s="681" t="s">
        <v>1031</v>
      </c>
      <c r="E51" s="683" t="s">
        <v>1032</v>
      </c>
      <c r="F51" s="676" t="s">
        <v>1011</v>
      </c>
      <c r="G51" s="684"/>
      <c r="H51" s="1039"/>
      <c r="I51" s="684"/>
      <c r="J51" s="1039"/>
      <c r="K51" s="305"/>
      <c r="X51" s="774">
        <v>0</v>
      </c>
    </row>
    <row s="1651" customFormat="1" customHeight="1" ht="45" hidden="1">
      <c r="A52" s="2408"/>
      <c r="B52" s="527"/>
      <c r="D52" s="681" t="s">
        <v>122</v>
      </c>
      <c r="E52" s="682" t="s">
        <v>1033</v>
      </c>
      <c r="F52" s="676" t="s">
        <v>1011</v>
      </c>
      <c r="G52" s="684"/>
      <c r="H52" s="1039"/>
      <c r="I52" s="684"/>
      <c r="J52" s="1039"/>
      <c r="K52" s="305"/>
      <c r="X52" s="774">
        <v>0</v>
      </c>
    </row>
    <row s="1651" customFormat="1" customHeight="1" ht="11.25" hidden="1">
      <c r="A53" s="2408"/>
      <c r="B53" s="527"/>
      <c r="D53" s="681" t="s">
        <v>466</v>
      </c>
      <c r="E53" s="683" t="s">
        <v>1022</v>
      </c>
      <c r="F53" s="676" t="s">
        <v>1011</v>
      </c>
      <c r="G53" s="684"/>
      <c r="H53" s="1039"/>
      <c r="I53" s="684"/>
      <c r="J53" s="1039"/>
      <c r="K53" s="305"/>
      <c r="X53" s="774">
        <v>0</v>
      </c>
    </row>
    <row s="1651" customFormat="1" customHeight="1" ht="11.25" hidden="1">
      <c r="A54" s="2408"/>
      <c r="B54" s="527"/>
      <c r="D54" s="681" t="s">
        <v>1034</v>
      </c>
      <c r="E54" s="683" t="s">
        <v>1023</v>
      </c>
      <c r="F54" s="676" t="s">
        <v>1011</v>
      </c>
      <c r="G54" s="684"/>
      <c r="H54" s="1039"/>
      <c r="I54" s="684"/>
      <c r="J54" s="1039"/>
      <c r="K54" s="305"/>
      <c r="X54" s="774">
        <v>0</v>
      </c>
    </row>
    <row s="1651" customFormat="1" customHeight="1" ht="11.25" hidden="1">
      <c r="A55" s="2408"/>
      <c r="B55" s="527"/>
      <c r="D55" s="681" t="s">
        <v>1035</v>
      </c>
      <c r="E55" s="683" t="s">
        <v>1024</v>
      </c>
      <c r="F55" s="676" t="s">
        <v>1011</v>
      </c>
      <c r="G55" s="684"/>
      <c r="H55" s="1039"/>
      <c r="I55" s="684"/>
      <c r="J55" s="1039"/>
      <c r="K55" s="305"/>
      <c r="X55" s="774">
        <v>0</v>
      </c>
    </row>
    <row s="1651" customFormat="1" customHeight="1" ht="11.25" hidden="1">
      <c r="A56" s="2408"/>
      <c r="B56" s="527"/>
      <c r="D56" s="681" t="s">
        <v>1036</v>
      </c>
      <c r="E56" s="687" t="s">
        <v>1026</v>
      </c>
      <c r="F56" s="676" t="s">
        <v>1011</v>
      </c>
      <c r="G56" s="684"/>
      <c r="H56" s="1039"/>
      <c r="I56" s="684"/>
      <c r="J56" s="1039"/>
      <c r="K56" s="305"/>
      <c r="X56" s="774">
        <v>0</v>
      </c>
    </row>
    <row s="1651" customFormat="1" customHeight="1" ht="11.25" hidden="1">
      <c r="A57" s="2408"/>
      <c r="B57" s="527"/>
      <c r="D57" s="681" t="s">
        <v>1037</v>
      </c>
      <c r="E57" s="687" t="s">
        <v>1028</v>
      </c>
      <c r="F57" s="676" t="s">
        <v>1011</v>
      </c>
      <c r="G57" s="684"/>
      <c r="H57" s="1039"/>
      <c r="I57" s="684"/>
      <c r="J57" s="1039"/>
      <c r="K57" s="305"/>
      <c r="X57" s="774">
        <v>0</v>
      </c>
    </row>
    <row s="1651" customFormat="1" customHeight="1" ht="11.25" hidden="1">
      <c r="A58" s="2408"/>
      <c r="B58" s="527"/>
      <c r="D58" s="681" t="s">
        <v>1038</v>
      </c>
      <c r="E58" s="683" t="s">
        <v>1030</v>
      </c>
      <c r="F58" s="676" t="s">
        <v>1011</v>
      </c>
      <c r="G58" s="684"/>
      <c r="H58" s="1039"/>
      <c r="I58" s="684"/>
      <c r="J58" s="1039"/>
      <c r="K58" s="305"/>
      <c r="X58" s="774">
        <v>0</v>
      </c>
    </row>
    <row s="1651" customFormat="1" customHeight="1" ht="11.25" hidden="1">
      <c r="A59" s="2408"/>
      <c r="B59" s="527"/>
      <c r="D59" s="681" t="s">
        <v>1039</v>
      </c>
      <c r="E59" s="683" t="s">
        <v>1032</v>
      </c>
      <c r="F59" s="676" t="s">
        <v>1011</v>
      </c>
      <c r="G59" s="684"/>
      <c r="H59" s="1039"/>
      <c r="I59" s="684"/>
      <c r="J59" s="1039"/>
      <c r="K59" s="305"/>
      <c r="X59" s="774">
        <v>0</v>
      </c>
    </row>
    <row s="1651" customFormat="1" customHeight="1" ht="33.75" hidden="1">
      <c r="A60" s="2408"/>
      <c r="B60" s="527"/>
      <c r="D60" s="681" t="s">
        <v>95</v>
      </c>
      <c r="E60" s="682" t="s">
        <v>1040</v>
      </c>
      <c r="F60" s="737" t="s">
        <v>711</v>
      </c>
      <c r="G60" s="758"/>
      <c r="H60" s="1039"/>
      <c r="I60" s="758"/>
      <c r="J60" s="1039"/>
      <c r="K60" s="318" t="s">
        <v>1041</v>
      </c>
      <c r="X60" s="774">
        <v>0</v>
      </c>
    </row>
    <row s="1651" customFormat="1" customHeight="1" ht="33.75" hidden="1">
      <c r="A61" s="2408"/>
      <c r="B61" s="527"/>
      <c r="D61" s="681" t="s">
        <v>96</v>
      </c>
      <c r="E61" s="682" t="s">
        <v>1042</v>
      </c>
      <c r="F61" s="742" t="s">
        <v>972</v>
      </c>
      <c r="G61" s="684"/>
      <c r="H61" s="1039"/>
      <c r="I61" s="684"/>
      <c r="J61" s="1039"/>
      <c r="K61" s="305"/>
      <c r="X61" s="774">
        <v>0</v>
      </c>
    </row>
    <row s="1651" customFormat="1" customHeight="1" ht="22.5" hidden="1">
      <c r="A62" s="2408"/>
      <c r="B62" s="527" t="s">
        <v>741</v>
      </c>
      <c r="D62" s="681" t="s">
        <v>134</v>
      </c>
      <c r="E62" s="682" t="s">
        <v>1043</v>
      </c>
      <c r="F62" s="742" t="s">
        <v>459</v>
      </c>
      <c r="G62" s="398"/>
      <c r="H62" s="1039"/>
      <c r="I62" s="398"/>
      <c r="J62" s="1039"/>
      <c r="K62" s="305" t="s">
        <v>784</v>
      </c>
      <c r="X62" s="774">
        <v>0</v>
      </c>
    </row>
    <row s="1651" customFormat="1" customHeight="1" ht="45" hidden="1">
      <c r="A63" s="2408"/>
      <c r="B63" s="527" t="s">
        <v>741</v>
      </c>
      <c r="D63" s="681" t="s">
        <v>1044</v>
      </c>
      <c r="E63" s="683" t="s">
        <v>1045</v>
      </c>
      <c r="F63" s="737" t="s">
        <v>459</v>
      </c>
      <c r="G63" s="398"/>
      <c r="H63" s="1039"/>
      <c r="I63" s="398"/>
      <c r="J63" s="1039"/>
      <c r="K63" s="305" t="s">
        <v>784</v>
      </c>
      <c r="X63" s="774">
        <v>0</v>
      </c>
    </row>
    <row s="1651" customFormat="1" customHeight="1" ht="11.549999999999999">
      <c r="A64" s="1049"/>
      <c r="B64" s="534"/>
      <c r="D64" s="1050"/>
      <c r="E64" s="1051"/>
      <c r="X64" s="525">
        <v>11</v>
      </c>
    </row>
    <row s="1651" customFormat="1" customHeight="1" ht="22.5" hidden="1">
      <c r="A65" s="2408" t="s">
        <v>1046</v>
      </c>
      <c r="B65" s="527"/>
      <c r="D65" s="681">
        <v>1</v>
      </c>
      <c r="E65" s="760" t="s">
        <v>1047</v>
      </c>
      <c r="F65" s="756" t="s">
        <v>962</v>
      </c>
      <c r="G65" s="757"/>
      <c r="H65" s="1045"/>
      <c r="I65" s="757"/>
      <c r="J65" s="1045"/>
      <c r="K65" s="317" t="s">
        <v>1048</v>
      </c>
      <c r="X65" s="774">
        <v>0</v>
      </c>
    </row>
    <row s="1651" customFormat="1" customHeight="1" ht="56.25" hidden="1">
      <c r="A66" s="2408"/>
      <c r="B66" s="527"/>
      <c r="D66" s="759" t="s">
        <v>107</v>
      </c>
      <c r="E66" s="723" t="s">
        <v>1049</v>
      </c>
      <c r="F66" s="676" t="s">
        <v>699</v>
      </c>
      <c r="G66" s="676" t="s">
        <v>699</v>
      </c>
      <c r="H66" s="535"/>
      <c r="I66" s="676" t="s">
        <v>699</v>
      </c>
      <c r="J66" s="535"/>
      <c r="K66" s="305"/>
      <c r="X66" s="774">
        <v>0</v>
      </c>
    </row>
    <row s="1651" customFormat="1" customHeight="1" ht="33.75" hidden="1">
      <c r="A67" s="2408"/>
      <c r="B67" s="527"/>
      <c r="D67" s="759" t="s">
        <v>861</v>
      </c>
      <c r="E67" s="970" t="s">
        <v>1050</v>
      </c>
      <c r="F67" s="676" t="s">
        <v>1014</v>
      </c>
      <c r="G67" s="743"/>
      <c r="H67" s="535"/>
      <c r="I67" s="743"/>
      <c r="J67" s="535"/>
      <c r="K67" s="305"/>
      <c r="X67" s="774">
        <v>0</v>
      </c>
    </row>
    <row s="1651" customFormat="1" customHeight="1" ht="22.5" hidden="1">
      <c r="A68" s="2408"/>
      <c r="B68" s="527"/>
      <c r="D68" s="759" t="s">
        <v>460</v>
      </c>
      <c r="E68" s="970" t="s">
        <v>1051</v>
      </c>
      <c r="F68" s="676" t="s">
        <v>1014</v>
      </c>
      <c r="G68" s="743"/>
      <c r="H68" s="535"/>
      <c r="I68" s="743"/>
      <c r="J68" s="535"/>
      <c r="K68" s="305"/>
      <c r="X68" s="774">
        <v>0</v>
      </c>
    </row>
    <row s="1651" customFormat="1" customHeight="1" ht="22.5" hidden="1">
      <c r="A69" s="2408"/>
      <c r="B69" s="527"/>
      <c r="D69" s="759" t="s">
        <v>463</v>
      </c>
      <c r="E69" s="970" t="s">
        <v>1052</v>
      </c>
      <c r="F69" s="737" t="s">
        <v>711</v>
      </c>
      <c r="G69" s="758"/>
      <c r="H69" s="535"/>
      <c r="I69" s="758"/>
      <c r="J69" s="535"/>
      <c r="K69" s="305"/>
      <c r="X69" s="774">
        <v>0</v>
      </c>
    </row>
    <row s="1651" customFormat="1" customHeight="1" ht="22.5" hidden="1">
      <c r="A70" s="2408"/>
      <c r="B70" s="527"/>
      <c r="D70" s="759" t="s">
        <v>881</v>
      </c>
      <c r="E70" s="970" t="s">
        <v>1053</v>
      </c>
      <c r="F70" s="737" t="s">
        <v>711</v>
      </c>
      <c r="G70" s="758"/>
      <c r="H70" s="535"/>
      <c r="I70" s="758"/>
      <c r="J70" s="535"/>
      <c r="K70" s="305"/>
      <c r="X70" s="774">
        <v>0</v>
      </c>
    </row>
    <row s="1651" customFormat="1" customHeight="1" ht="22.5" hidden="1">
      <c r="A71" s="2408"/>
      <c r="B71" s="527"/>
      <c r="D71" s="681" t="s">
        <v>93</v>
      </c>
      <c r="E71" s="682" t="s">
        <v>1054</v>
      </c>
      <c r="F71" s="676" t="s">
        <v>1014</v>
      </c>
      <c r="G71" s="573"/>
      <c r="H71" s="1046"/>
      <c r="I71" s="573"/>
      <c r="J71" s="1046"/>
      <c r="K71" s="318"/>
      <c r="X71" s="774">
        <v>0</v>
      </c>
    </row>
    <row s="1651" customFormat="1" customHeight="1" ht="56.25" hidden="1">
      <c r="A72" s="2408"/>
      <c r="B72" s="527"/>
      <c r="D72" s="681" t="s">
        <v>94</v>
      </c>
      <c r="E72" s="682" t="s">
        <v>1055</v>
      </c>
      <c r="F72" s="737" t="s">
        <v>711</v>
      </c>
      <c r="G72" s="758"/>
      <c r="H72" s="1039"/>
      <c r="I72" s="758"/>
      <c r="J72" s="1039"/>
      <c r="K72" s="318"/>
      <c r="X72" s="774">
        <v>0</v>
      </c>
    </row>
    <row s="1651" customFormat="1" customHeight="1" ht="33.75" hidden="1">
      <c r="A73" s="2408"/>
      <c r="B73" s="527"/>
      <c r="D73" s="681" t="s">
        <v>122</v>
      </c>
      <c r="E73" s="682" t="s">
        <v>1056</v>
      </c>
      <c r="F73" s="742" t="s">
        <v>972</v>
      </c>
      <c r="G73" s="684"/>
      <c r="H73" s="1039"/>
      <c r="I73" s="684"/>
      <c r="J73" s="1039"/>
      <c r="K73" s="305"/>
      <c r="X73" s="774">
        <v>0</v>
      </c>
    </row>
    <row s="1651" customFormat="1" customHeight="1" ht="22.5" hidden="1">
      <c r="A74" s="2408"/>
      <c r="B74" s="527" t="s">
        <v>741</v>
      </c>
      <c r="D74" s="681" t="s">
        <v>95</v>
      </c>
      <c r="E74" s="682" t="s">
        <v>1057</v>
      </c>
      <c r="F74" s="742" t="s">
        <v>459</v>
      </c>
      <c r="G74" s="398"/>
      <c r="H74" s="1039"/>
      <c r="I74" s="398"/>
      <c r="J74" s="1039"/>
      <c r="K74" s="305" t="s">
        <v>784</v>
      </c>
      <c r="X74" s="774">
        <v>0</v>
      </c>
    </row>
    <row s="1651" customFormat="1" customHeight="1" ht="45" hidden="1">
      <c r="A75" s="2408"/>
      <c r="B75" s="527" t="s">
        <v>741</v>
      </c>
      <c r="D75" s="681" t="s">
        <v>805</v>
      </c>
      <c r="E75" s="683" t="s">
        <v>1058</v>
      </c>
      <c r="F75" s="737" t="s">
        <v>459</v>
      </c>
      <c r="G75" s="398"/>
      <c r="H75" s="1039"/>
      <c r="I75" s="398"/>
      <c r="J75" s="1039"/>
      <c r="K75" s="305" t="s">
        <v>784</v>
      </c>
      <c r="X75" s="774">
        <v>0</v>
      </c>
    </row>
    <row s="1651" customFormat="1" customHeight="1" ht="11.549999999999999">
      <c r="A76" s="1049"/>
      <c r="B76" s="534"/>
      <c r="D76" s="1050"/>
      <c r="E76" s="1051"/>
      <c r="X76" s="525">
        <v>11</v>
      </c>
    </row>
    <row s="1651" customFormat="1" customHeight="1" ht="11.25" hidden="1">
      <c r="A77" s="2408" t="s">
        <v>1059</v>
      </c>
      <c r="B77" s="527"/>
      <c r="D77" s="681">
        <v>1</v>
      </c>
      <c r="E77" s="682" t="s">
        <v>1060</v>
      </c>
      <c r="F77" s="737" t="s">
        <v>962</v>
      </c>
      <c r="G77" s="740"/>
      <c r="H77" s="1039"/>
      <c r="I77" s="740"/>
      <c r="J77" s="1039"/>
      <c r="K77" s="305" t="s">
        <v>1061</v>
      </c>
      <c r="X77" s="774">
        <v>0</v>
      </c>
    </row>
    <row s="1651" customFormat="1" customHeight="1" ht="11.25" hidden="1">
      <c r="A78" s="2408"/>
      <c r="B78" s="527"/>
      <c r="D78" s="681" t="s">
        <v>107</v>
      </c>
      <c r="E78" s="682" t="s">
        <v>1062</v>
      </c>
      <c r="F78" s="737" t="s">
        <v>962</v>
      </c>
      <c r="G78" s="740"/>
      <c r="H78" s="1039"/>
      <c r="I78" s="740"/>
      <c r="J78" s="1039"/>
      <c r="K78" s="305" t="s">
        <v>1063</v>
      </c>
      <c r="X78" s="774">
        <v>0</v>
      </c>
    </row>
    <row s="1651" customFormat="1" customHeight="1" ht="22.5" hidden="1">
      <c r="A79" s="2408"/>
      <c r="B79" s="527"/>
      <c r="D79" s="681" t="s">
        <v>93</v>
      </c>
      <c r="E79" s="738" t="s">
        <v>1064</v>
      </c>
      <c r="F79" s="676" t="s">
        <v>1011</v>
      </c>
      <c r="G79" s="740"/>
      <c r="H79" s="1039"/>
      <c r="I79" s="740"/>
      <c r="J79" s="1039"/>
      <c r="K79" s="305" t="s">
        <v>1065</v>
      </c>
      <c r="X79" s="774">
        <v>0</v>
      </c>
    </row>
    <row s="1651" customFormat="1" customHeight="1" ht="11.25" hidden="1">
      <c r="A80" s="2408"/>
      <c r="B80" s="527"/>
      <c r="D80" s="681" t="s">
        <v>477</v>
      </c>
      <c r="E80" s="739" t="s">
        <v>1066</v>
      </c>
      <c r="F80" s="676" t="s">
        <v>1011</v>
      </c>
      <c r="G80" s="740"/>
      <c r="H80" s="1039"/>
      <c r="I80" s="740"/>
      <c r="J80" s="1039"/>
      <c r="K80" s="305"/>
      <c r="X80" s="774">
        <v>0</v>
      </c>
    </row>
    <row s="1651" customFormat="1" customHeight="1" ht="11.25" hidden="1">
      <c r="A81" s="2408"/>
      <c r="B81" s="527"/>
      <c r="D81" s="681" t="s">
        <v>485</v>
      </c>
      <c r="E81" s="739" t="s">
        <v>1067</v>
      </c>
      <c r="F81" s="676" t="s">
        <v>1011</v>
      </c>
      <c r="G81" s="740"/>
      <c r="H81" s="1039"/>
      <c r="I81" s="740"/>
      <c r="J81" s="1039"/>
      <c r="K81" s="305"/>
      <c r="X81" s="774">
        <v>0</v>
      </c>
    </row>
    <row s="1651" customFormat="1" customHeight="1" ht="11.25" hidden="1">
      <c r="A82" s="2408"/>
      <c r="B82" s="527"/>
      <c r="D82" s="681" t="s">
        <v>487</v>
      </c>
      <c r="E82" s="739" t="s">
        <v>1068</v>
      </c>
      <c r="F82" s="676" t="s">
        <v>1011</v>
      </c>
      <c r="G82" s="740"/>
      <c r="H82" s="1039"/>
      <c r="I82" s="740"/>
      <c r="J82" s="1039"/>
      <c r="K82" s="305"/>
      <c r="X82" s="774">
        <v>0</v>
      </c>
    </row>
    <row s="1651" customFormat="1" customHeight="1" ht="11.25" hidden="1">
      <c r="A83" s="2408"/>
      <c r="B83" s="527"/>
      <c r="D83" s="681" t="s">
        <v>489</v>
      </c>
      <c r="E83" s="739" t="s">
        <v>1069</v>
      </c>
      <c r="F83" s="676" t="s">
        <v>1011</v>
      </c>
      <c r="G83" s="740"/>
      <c r="H83" s="1039"/>
      <c r="I83" s="740"/>
      <c r="J83" s="1039"/>
      <c r="K83" s="305"/>
      <c r="X83" s="774">
        <v>0</v>
      </c>
    </row>
    <row s="1651" customFormat="1" customHeight="1" ht="11.25" hidden="1">
      <c r="A84" s="2408"/>
      <c r="B84" s="527"/>
      <c r="D84" s="681" t="s">
        <v>1070</v>
      </c>
      <c r="E84" s="739" t="s">
        <v>1071</v>
      </c>
      <c r="F84" s="676" t="s">
        <v>1011</v>
      </c>
      <c r="G84" s="740"/>
      <c r="H84" s="1039"/>
      <c r="I84" s="740"/>
      <c r="J84" s="1039"/>
      <c r="K84" s="305"/>
      <c r="X84" s="774">
        <v>0</v>
      </c>
    </row>
    <row s="1651" customFormat="1" customHeight="1" ht="11.25" hidden="1">
      <c r="A85" s="2408"/>
      <c r="B85" s="527"/>
      <c r="D85" s="681" t="s">
        <v>1072</v>
      </c>
      <c r="E85" s="739" t="s">
        <v>1073</v>
      </c>
      <c r="F85" s="676" t="s">
        <v>1011</v>
      </c>
      <c r="G85" s="740"/>
      <c r="H85" s="1039"/>
      <c r="I85" s="740"/>
      <c r="J85" s="1039"/>
      <c r="K85" s="305"/>
      <c r="X85" s="774">
        <v>0</v>
      </c>
    </row>
    <row s="1651" customFormat="1" customHeight="1" ht="11.25" hidden="1">
      <c r="A86" s="2408"/>
      <c r="B86" s="527"/>
      <c r="D86" s="681" t="s">
        <v>1074</v>
      </c>
      <c r="E86" s="739" t="s">
        <v>1075</v>
      </c>
      <c r="F86" s="676" t="s">
        <v>1011</v>
      </c>
      <c r="G86" s="740"/>
      <c r="H86" s="1039"/>
      <c r="I86" s="740"/>
      <c r="J86" s="1039"/>
      <c r="K86" s="305"/>
      <c r="X86" s="774">
        <v>0</v>
      </c>
    </row>
    <row s="1651" customFormat="1" customHeight="1" ht="45" hidden="1">
      <c r="A87" s="2408"/>
      <c r="B87" s="527"/>
      <c r="D87" s="681" t="s">
        <v>94</v>
      </c>
      <c r="E87" s="682" t="s">
        <v>1076</v>
      </c>
      <c r="F87" s="676" t="s">
        <v>1011</v>
      </c>
      <c r="G87" s="740"/>
      <c r="H87" s="1039"/>
      <c r="I87" s="740"/>
      <c r="J87" s="1039"/>
      <c r="K87" s="305" t="s">
        <v>1077</v>
      </c>
      <c r="X87" s="774">
        <v>0</v>
      </c>
    </row>
    <row s="1651" customFormat="1" customHeight="1" ht="11.25" hidden="1">
      <c r="A88" s="2408"/>
      <c r="B88" s="527"/>
      <c r="D88" s="681" t="s">
        <v>906</v>
      </c>
      <c r="E88" s="739" t="s">
        <v>1066</v>
      </c>
      <c r="F88" s="676" t="s">
        <v>1011</v>
      </c>
      <c r="G88" s="740"/>
      <c r="H88" s="1039"/>
      <c r="I88" s="740"/>
      <c r="J88" s="1039"/>
      <c r="K88" s="305"/>
      <c r="X88" s="774">
        <v>0</v>
      </c>
    </row>
    <row s="1651" customFormat="1" customHeight="1" ht="11.25" hidden="1">
      <c r="A89" s="2408"/>
      <c r="B89" s="527"/>
      <c r="D89" s="681" t="s">
        <v>948</v>
      </c>
      <c r="E89" s="739" t="s">
        <v>1067</v>
      </c>
      <c r="F89" s="676" t="s">
        <v>1011</v>
      </c>
      <c r="G89" s="740"/>
      <c r="H89" s="1039"/>
      <c r="I89" s="740"/>
      <c r="J89" s="1039"/>
      <c r="K89" s="305"/>
      <c r="X89" s="774">
        <v>0</v>
      </c>
    </row>
    <row s="1651" customFormat="1" customHeight="1" ht="11.25" hidden="1">
      <c r="A90" s="2408"/>
      <c r="B90" s="527"/>
      <c r="D90" s="681" t="s">
        <v>951</v>
      </c>
      <c r="E90" s="739" t="s">
        <v>1068</v>
      </c>
      <c r="F90" s="676" t="s">
        <v>1011</v>
      </c>
      <c r="G90" s="740"/>
      <c r="H90" s="1039"/>
      <c r="I90" s="740"/>
      <c r="J90" s="1039"/>
      <c r="K90" s="305"/>
      <c r="X90" s="774">
        <v>0</v>
      </c>
    </row>
    <row s="1651" customFormat="1" customHeight="1" ht="11.25" hidden="1">
      <c r="A91" s="2408"/>
      <c r="B91" s="527"/>
      <c r="D91" s="681" t="s">
        <v>1029</v>
      </c>
      <c r="E91" s="739" t="s">
        <v>1069</v>
      </c>
      <c r="F91" s="676" t="s">
        <v>1011</v>
      </c>
      <c r="G91" s="740"/>
      <c r="H91" s="1039"/>
      <c r="I91" s="740"/>
      <c r="J91" s="1039"/>
      <c r="K91" s="305"/>
      <c r="X91" s="774">
        <v>0</v>
      </c>
    </row>
    <row s="1651" customFormat="1" customHeight="1" ht="11.25" hidden="1">
      <c r="A92" s="2408"/>
      <c r="B92" s="527"/>
      <c r="D92" s="681" t="s">
        <v>1031</v>
      </c>
      <c r="E92" s="739" t="s">
        <v>1071</v>
      </c>
      <c r="F92" s="676" t="s">
        <v>1011</v>
      </c>
      <c r="G92" s="740"/>
      <c r="H92" s="1039"/>
      <c r="I92" s="740"/>
      <c r="J92" s="1039"/>
      <c r="K92" s="305"/>
      <c r="X92" s="774">
        <v>0</v>
      </c>
    </row>
    <row s="1651" customFormat="1" customHeight="1" ht="11.25" hidden="1">
      <c r="A93" s="2408"/>
      <c r="B93" s="527"/>
      <c r="D93" s="681" t="s">
        <v>1078</v>
      </c>
      <c r="E93" s="739" t="s">
        <v>1073</v>
      </c>
      <c r="F93" s="676" t="s">
        <v>1011</v>
      </c>
      <c r="G93" s="740"/>
      <c r="H93" s="1039"/>
      <c r="I93" s="740"/>
      <c r="J93" s="1039"/>
      <c r="K93" s="305"/>
      <c r="X93" s="774">
        <v>0</v>
      </c>
    </row>
    <row s="1651" customFormat="1" customHeight="1" ht="11.25" hidden="1">
      <c r="A94" s="2408"/>
      <c r="B94" s="527"/>
      <c r="D94" s="681" t="s">
        <v>1079</v>
      </c>
      <c r="E94" s="739" t="s">
        <v>1075</v>
      </c>
      <c r="F94" s="676" t="s">
        <v>1011</v>
      </c>
      <c r="G94" s="740"/>
      <c r="H94" s="1039"/>
      <c r="I94" s="740"/>
      <c r="J94" s="1039"/>
      <c r="K94" s="305"/>
      <c r="X94" s="774">
        <v>0</v>
      </c>
    </row>
    <row s="1651" customFormat="1" customHeight="1" ht="24.75" hidden="1">
      <c r="A95" s="2408"/>
      <c r="B95" s="527"/>
      <c r="D95" s="681" t="s">
        <v>122</v>
      </c>
      <c r="E95" s="682" t="s">
        <v>1080</v>
      </c>
      <c r="F95" s="741" t="s">
        <v>711</v>
      </c>
      <c r="G95" s="743"/>
      <c r="H95" s="1039"/>
      <c r="I95" s="743"/>
      <c r="J95" s="1039"/>
      <c r="K95" s="305" t="s">
        <v>1081</v>
      </c>
      <c r="X95" s="774">
        <v>0</v>
      </c>
    </row>
    <row s="1651" customFormat="1" customHeight="1" ht="33.75" hidden="1">
      <c r="A96" s="2408"/>
      <c r="B96" s="527"/>
      <c r="D96" s="681" t="s">
        <v>95</v>
      </c>
      <c r="E96" s="682" t="s">
        <v>1082</v>
      </c>
      <c r="F96" s="742" t="s">
        <v>972</v>
      </c>
      <c r="G96" s="744"/>
      <c r="H96" s="1039"/>
      <c r="I96" s="744"/>
      <c r="J96" s="1039"/>
      <c r="K96" s="305"/>
      <c r="X96" s="774">
        <v>0</v>
      </c>
    </row>
    <row s="1651" customFormat="1" customHeight="1" ht="22.5" hidden="1">
      <c r="A97" s="2408"/>
      <c r="B97" s="527" t="s">
        <v>741</v>
      </c>
      <c r="D97" s="681" t="s">
        <v>96</v>
      </c>
      <c r="E97" s="682" t="s">
        <v>1083</v>
      </c>
      <c r="F97" s="742" t="s">
        <v>459</v>
      </c>
      <c r="G97" s="401"/>
      <c r="H97" s="1039"/>
      <c r="I97" s="401"/>
      <c r="J97" s="1039"/>
      <c r="K97" s="305" t="s">
        <v>784</v>
      </c>
      <c r="X97" s="774">
        <v>0</v>
      </c>
    </row>
    <row s="1651" customFormat="1" customHeight="1" ht="45" hidden="1">
      <c r="A98" s="2408"/>
      <c r="B98" s="527" t="s">
        <v>741</v>
      </c>
      <c r="D98" s="681" t="s">
        <v>1084</v>
      </c>
      <c r="E98" s="683" t="s">
        <v>1085</v>
      </c>
      <c r="F98" s="737" t="s">
        <v>459</v>
      </c>
      <c r="G98" s="401"/>
      <c r="H98" s="1039"/>
      <c r="I98" s="401"/>
      <c r="J98" s="1039"/>
      <c r="K98" s="305" t="s">
        <v>784</v>
      </c>
      <c r="X98" s="774">
        <v>0</v>
      </c>
    </row>
    <row s="1651" customFormat="1" customHeight="1" ht="95.25" hidden="1">
      <c r="A99" s="2408"/>
      <c r="B99" s="527" t="s">
        <v>741</v>
      </c>
      <c r="D99" s="681" t="s">
        <v>134</v>
      </c>
      <c r="E99" s="682" t="s">
        <v>1086</v>
      </c>
      <c r="F99" s="737" t="s">
        <v>459</v>
      </c>
      <c r="G99" s="401"/>
      <c r="H99" s="1039"/>
      <c r="I99" s="401"/>
      <c r="J99" s="1039"/>
      <c r="K99" s="305" t="s">
        <v>784</v>
      </c>
      <c r="X99" s="774">
        <v>0</v>
      </c>
    </row>
    <row s="1651" customFormat="1" customHeight="1" ht="22.5" hidden="1">
      <c r="A100" s="2408"/>
      <c r="B100" s="527" t="s">
        <v>741</v>
      </c>
      <c r="D100" s="681" t="s">
        <v>139</v>
      </c>
      <c r="E100" s="682" t="s">
        <v>1087</v>
      </c>
      <c r="F100" s="737" t="s">
        <v>459</v>
      </c>
      <c r="G100" s="401"/>
      <c r="H100" s="1039"/>
      <c r="I100" s="401"/>
      <c r="J100" s="1039"/>
      <c r="K100" s="305" t="s">
        <v>784</v>
      </c>
      <c r="X100" s="774">
        <v>0</v>
      </c>
    </row>
    <row s="1651" customFormat="1" customHeight="1" ht="11.549999999999999">
      <c r="A101" s="1049"/>
      <c r="B101" s="534"/>
      <c r="D101" s="1050"/>
      <c r="E101" s="1051"/>
      <c r="X101" s="525">
        <v>11</v>
      </c>
    </row>
    <row customHeight="1" ht="22.5" hidden="1">
      <c r="A102" s="552" t="s">
        <v>85</v>
      </c>
      <c r="B102" s="527">
        <v>0</v>
      </c>
      <c r="C102" s="521">
        <v>3</v>
      </c>
      <c r="D102" s="521">
        <v>7</v>
      </c>
      <c r="E102" s="521">
        <v>69</v>
      </c>
      <c r="F102" s="521">
        <v>10</v>
      </c>
      <c r="G102" s="521">
        <v>0</v>
      </c>
      <c r="H102" s="521">
        <v>0</v>
      </c>
      <c r="I102" s="774">
        <v>43</v>
      </c>
      <c r="J102" s="774">
        <v>43</v>
      </c>
      <c r="K102" s="521">
        <v>73</v>
      </c>
      <c r="L102" s="521">
        <v>3</v>
      </c>
      <c r="M102" s="521">
        <v>10</v>
      </c>
      <c r="N102" s="521">
        <v>10</v>
      </c>
      <c r="O102" s="521">
        <v>10</v>
      </c>
      <c r="P102" s="521">
        <v>10</v>
      </c>
      <c r="Q102" s="521">
        <v>10</v>
      </c>
      <c r="R102" s="521">
        <v>10</v>
      </c>
      <c r="S102" s="521">
        <v>10</v>
      </c>
      <c r="T102" s="521">
        <v>10</v>
      </c>
      <c r="U102" s="521">
        <v>10</v>
      </c>
      <c r="V102" s="521">
        <v>10</v>
      </c>
      <c r="W102" s="521">
        <v>10</v>
      </c>
      <c r="X102" s="52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B96F9-D724-7BED-FB84-3C899D4497D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9" width="6.421875" hidden="1" customWidth="1"/>
    <col min="2" max="2" style="1869" width="2.00390625" hidden="1" customWidth="1"/>
    <col min="3" max="3" style="1869" width="3.00390625" customWidth="1"/>
    <col min="4" max="4" style="1869" width="4.00390625" customWidth="1"/>
    <col min="5" max="5" style="1869" width="44.00390625" customWidth="1"/>
    <col min="6" max="6" style="1869" width="6.421875" customWidth="1"/>
    <col min="7" max="7" style="1869" width="4.00390625" customWidth="1"/>
    <col min="8" max="8" style="1869" width="5.00390625" customWidth="1"/>
    <col min="9" max="9" style="1869" width="52.00390625" customWidth="1"/>
    <col min="10" max="10" style="1869" width="7.00390625" customWidth="1"/>
    <col min="11" max="11" style="1869" width="3.00390625" customWidth="1"/>
    <col min="12" max="12" style="1869" width="6.00390625" customWidth="1"/>
    <col min="13" max="13" style="1869" width="56.00390625" customWidth="1"/>
    <col min="14" max="14" style="1386" width="8.00390625" customWidth="1"/>
    <col min="15" max="20" style="1640" width="9.140625" hidden="1"/>
    <col min="21" max="24" style="1282" width="9.140625" hidden="1"/>
    <col min="25" max="37" style="1386" width="9.140625" hidden="1"/>
    <col min="38" max="38" style="1386" width="8.00390625" customWidth="1"/>
    <col min="39" max="39" style="1869" width="9.140625" hidden="1"/>
  </cols>
  <sheetData>
    <row customHeight="1" ht="11.25" hidden="1">
      <c r="AM1" s="599" t="s">
        <v>14</v>
      </c>
    </row>
    <row customHeight="1" ht="11.25" hidden="1">
      <c r="AM2" s="599">
        <v>0</v>
      </c>
    </row>
    <row customHeight="1" ht="11.549999999999999">
      <c r="AM3" s="599">
        <v>11</v>
      </c>
    </row>
    <row customHeight="1" ht="35.699999999999996">
      <c r="A4" s="601"/>
      <c r="B4" s="601"/>
      <c r="D4" s="2135" t="str">
        <f>Титульный!E5</f>
        <v>Показатели, подлежащие раскрытию в сфере теплоснабжения (цены и тарифы)</v>
      </c>
      <c r="E4" s="2136"/>
      <c r="F4" s="2136"/>
      <c r="G4" s="2136"/>
      <c r="H4" s="2136"/>
      <c r="I4" s="2137"/>
      <c r="J4" s="600"/>
      <c r="K4" s="600"/>
      <c r="L4" s="600"/>
      <c r="M4" s="600"/>
      <c r="AM4" s="599">
        <v>34</v>
      </c>
    </row>
    <row s="605" customFormat="1" customHeight="1" ht="14.699999999999998">
      <c r="A5" s="601"/>
      <c r="B5" s="601"/>
      <c r="C5" s="601"/>
      <c r="D5" s="2138" t="str">
        <f>IF(org=0,"Не определено",org)</f>
        <v>КГУП "Примтеплоэнерго"</v>
      </c>
      <c r="E5" s="2139"/>
      <c r="F5" s="2139"/>
      <c r="G5" s="2139"/>
      <c r="H5" s="2139"/>
      <c r="I5" s="2140"/>
      <c r="J5" s="602"/>
      <c r="K5" s="602"/>
      <c r="L5" s="602"/>
      <c r="M5" s="602"/>
      <c r="N5" s="602"/>
      <c r="O5" s="886"/>
      <c r="P5" s="886"/>
      <c r="Q5" s="886"/>
      <c r="R5" s="886"/>
      <c r="S5" s="886"/>
      <c r="T5" s="886"/>
      <c r="U5" s="1277"/>
      <c r="V5" s="1277"/>
      <c r="W5" s="1277"/>
      <c r="X5" s="1277"/>
      <c r="Y5" s="602"/>
      <c r="Z5" s="602"/>
      <c r="AA5" s="602"/>
      <c r="AB5" s="602"/>
      <c r="AC5" s="602"/>
      <c r="AD5" s="602"/>
      <c r="AE5" s="602"/>
      <c r="AF5" s="602"/>
      <c r="AG5" s="602"/>
      <c r="AH5" s="602"/>
      <c r="AI5" s="602"/>
      <c r="AJ5" s="602"/>
      <c r="AK5" s="602"/>
      <c r="AL5" s="602"/>
      <c r="AM5" s="603">
        <v>14</v>
      </c>
    </row>
    <row s="605" customFormat="1" customHeight="1" ht="6.3">
      <c r="A6" s="2141"/>
      <c r="B6" s="2141"/>
      <c r="C6" s="2141"/>
      <c r="D6" s="2141"/>
      <c r="E6" s="2141"/>
      <c r="F6" s="2141"/>
      <c r="G6" s="604"/>
      <c r="H6" s="604"/>
      <c r="I6" s="604"/>
      <c r="J6" s="604"/>
      <c r="K6" s="604"/>
      <c r="N6" s="606"/>
      <c r="O6" s="1430"/>
      <c r="P6" s="1430"/>
      <c r="Q6" s="1430"/>
      <c r="R6" s="1430"/>
      <c r="S6" s="1430"/>
      <c r="T6" s="1430"/>
      <c r="U6" s="1280"/>
      <c r="V6" s="1280"/>
      <c r="W6" s="1280"/>
      <c r="X6" s="1280"/>
      <c r="Y6" s="606"/>
      <c r="Z6" s="606"/>
      <c r="AA6" s="606"/>
      <c r="AB6" s="606"/>
      <c r="AC6" s="606"/>
      <c r="AD6" s="606"/>
      <c r="AE6" s="606"/>
      <c r="AF6" s="606"/>
      <c r="AG6" s="606"/>
      <c r="AH6" s="606"/>
      <c r="AI6" s="606"/>
      <c r="AJ6" s="606"/>
      <c r="AK6" s="606"/>
      <c r="AL6" s="606"/>
      <c r="AM6" s="605">
        <v>6</v>
      </c>
    </row>
    <row customHeight="1" ht="45.75" hidden="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c r="AM7" s="599">
        <v>0</v>
      </c>
    </row>
    <row s="605" customFormat="1" customHeight="1" ht="6.3">
      <c r="A8" s="607"/>
      <c r="B8" s="607"/>
      <c r="C8" s="607"/>
      <c r="D8" s="607"/>
      <c r="E8" s="607"/>
      <c r="F8" s="607"/>
      <c r="G8" s="607"/>
      <c r="H8" s="607"/>
      <c r="I8" s="607"/>
      <c r="J8" s="607"/>
      <c r="K8" s="607"/>
      <c r="L8" s="607"/>
      <c r="M8" s="605"/>
      <c r="N8" s="602"/>
      <c r="O8" s="886"/>
      <c r="P8" s="886"/>
      <c r="Q8" s="886"/>
      <c r="R8" s="886"/>
      <c r="S8" s="886"/>
      <c r="T8" s="886"/>
      <c r="U8" s="1277"/>
      <c r="V8" s="1277"/>
      <c r="W8" s="1277"/>
      <c r="X8" s="1277"/>
      <c r="Y8" s="602"/>
      <c r="Z8" s="602"/>
      <c r="AA8" s="602"/>
      <c r="AB8" s="602"/>
      <c r="AC8" s="602"/>
      <c r="AD8" s="602"/>
      <c r="AE8" s="602"/>
      <c r="AF8" s="602"/>
      <c r="AG8" s="602"/>
      <c r="AH8" s="602"/>
      <c r="AI8" s="602"/>
      <c r="AJ8" s="602"/>
      <c r="AK8" s="602"/>
      <c r="AL8" s="602"/>
      <c r="AM8" s="603">
        <v>6</v>
      </c>
    </row>
    <row customHeight="1" ht="18.75">
      <c r="A9" s="2142"/>
      <c r="B9" s="339"/>
      <c r="C9" s="339"/>
      <c r="D9" s="2143" t="s">
        <v>178</v>
      </c>
      <c r="E9" s="2143"/>
      <c r="F9" s="2144" t="s">
        <v>179</v>
      </c>
      <c r="G9" s="2145"/>
      <c r="H9" s="2145"/>
      <c r="I9" s="2145"/>
      <c r="J9" s="2148" t="s">
        <v>180</v>
      </c>
      <c r="K9" s="2148"/>
      <c r="L9" s="2148"/>
      <c r="M9" s="2148"/>
      <c r="AM9" s="599">
        <v>18</v>
      </c>
    </row>
    <row customHeight="1" ht="24">
      <c r="A10" s="2142"/>
      <c r="B10" s="608"/>
      <c r="C10" s="541"/>
      <c r="D10" s="539" t="s">
        <v>91</v>
      </c>
      <c r="E10" s="539" t="s">
        <v>92</v>
      </c>
      <c r="F10" s="539" t="s">
        <v>181</v>
      </c>
      <c r="G10" s="2149" t="s">
        <v>91</v>
      </c>
      <c r="H10" s="2150"/>
      <c r="I10" s="539" t="s">
        <v>92</v>
      </c>
      <c r="J10" s="539" t="s">
        <v>181</v>
      </c>
      <c r="K10" s="2149" t="s">
        <v>91</v>
      </c>
      <c r="L10" s="2150"/>
      <c r="M10" s="539" t="s">
        <v>92</v>
      </c>
      <c r="N10" s="1643"/>
      <c r="AM10" s="599">
        <v>23</v>
      </c>
    </row>
    <row s="1869" customFormat="1" customHeight="1" ht="11.25" hidden="1">
      <c r="A11" s="609"/>
      <c r="B11" s="609"/>
      <c r="C11" s="609"/>
      <c r="D11" s="610" t="s">
        <v>141</v>
      </c>
      <c r="E11" s="610" t="s">
        <v>107</v>
      </c>
      <c r="F11" s="610" t="s">
        <v>93</v>
      </c>
      <c r="G11" s="2131" t="s">
        <v>94</v>
      </c>
      <c r="H11" s="2132"/>
      <c r="I11" s="610" t="s">
        <v>122</v>
      </c>
      <c r="J11" s="610" t="s">
        <v>95</v>
      </c>
      <c r="K11" s="2133" t="s">
        <v>96</v>
      </c>
      <c r="L11" s="2134"/>
      <c r="M11" s="610" t="s">
        <v>134</v>
      </c>
      <c r="N11" s="1642"/>
      <c r="O11" s="1429"/>
      <c r="P11" s="1431"/>
      <c r="Q11" s="1431"/>
      <c r="R11" s="1431"/>
      <c r="S11" s="1431"/>
      <c r="T11" s="1431"/>
      <c r="U11" s="1281"/>
      <c r="V11" s="1281"/>
      <c r="W11" s="1281"/>
      <c r="X11" s="1281"/>
      <c r="Y11" s="611"/>
      <c r="Z11" s="611"/>
      <c r="AA11" s="611"/>
      <c r="AB11" s="611"/>
      <c r="AC11" s="611"/>
      <c r="AD11" s="611"/>
      <c r="AE11" s="611"/>
      <c r="AF11" s="611"/>
      <c r="AG11" s="611"/>
      <c r="AH11" s="611"/>
      <c r="AI11" s="611"/>
      <c r="AJ11" s="611"/>
      <c r="AK11" s="611"/>
      <c r="AL11" s="611"/>
      <c r="AM11" s="612">
        <v>0</v>
      </c>
    </row>
    <row customHeight="1" ht="1.05">
      <c r="A12" s="613"/>
      <c r="B12" s="614"/>
      <c r="C12" s="614"/>
      <c r="D12" s="615"/>
      <c r="E12" s="383"/>
      <c r="F12" s="616"/>
      <c r="G12" s="1075"/>
      <c r="H12" s="1075"/>
      <c r="I12" s="616"/>
      <c r="J12" s="616"/>
      <c r="K12" s="190"/>
      <c r="L12" s="383"/>
      <c r="M12" s="617"/>
      <c r="N12" s="1643"/>
      <c r="O12" s="1429" t="s">
        <v>182</v>
      </c>
      <c r="P12" s="1429" t="s">
        <v>183</v>
      </c>
      <c r="Q12" s="1429" t="s">
        <v>184</v>
      </c>
      <c r="R12" s="1429" t="s">
        <v>185</v>
      </c>
      <c r="AM12" s="599">
        <v>1</v>
      </c>
    </row>
    <row s="1869" customFormat="1" customHeight="1" ht="15.75">
      <c r="A13" s="309"/>
      <c r="B13" s="309"/>
      <c r="C13" s="542"/>
      <c r="D13" s="2124" t="s">
        <v>141</v>
      </c>
      <c r="E13" s="2125"/>
      <c r="F13" s="2128" t="s">
        <v>64</v>
      </c>
      <c r="G13" s="2129"/>
      <c r="H13" s="2130">
        <v>1</v>
      </c>
      <c r="I13" s="2121" t="str">
        <f>IF(U13="","",INDEX(TERRITORY_MR_LIST,MATCH(U13,TERRITORY_LIST_ID,0)))</f>
        <v/>
      </c>
      <c r="J13" s="2123" t="s">
        <v>19</v>
      </c>
      <c r="K13" s="618"/>
      <c r="L13" s="543" t="s">
        <v>141</v>
      </c>
      <c r="M13" s="619" t="s">
        <v>28</v>
      </c>
      <c r="N13" s="828"/>
      <c r="O13" s="1432" t="s">
        <v>186</v>
      </c>
      <c r="P13" s="1429">
        <f>$E$13</f>
        <v>0</v>
      </c>
      <c r="Q13" s="1429" t="str">
        <f>IF($F$13="нет","без дифференциации",$I$13)</f>
        <v/>
      </c>
      <c r="R13" s="1429" t="str">
        <f>IF($J$13="нет","без дифференциации",M13)</f>
        <v>без дифференциации</v>
      </c>
      <c r="S13" s="1432"/>
      <c r="T13" s="1432"/>
      <c r="U13" s="1282"/>
      <c r="V13" s="1282"/>
      <c r="W13" s="1282"/>
      <c r="X13" s="1282"/>
      <c r="Y13" s="620" t="s">
        <v>187</v>
      </c>
      <c r="Z13" s="620">
        <v>1705000</v>
      </c>
      <c r="AA13" s="620"/>
      <c r="AB13" s="620"/>
      <c r="AC13" s="620"/>
      <c r="AD13" s="620"/>
      <c r="AE13" s="620"/>
      <c r="AF13" s="620"/>
      <c r="AG13" s="620"/>
      <c r="AH13" s="620"/>
      <c r="AI13" s="620"/>
      <c r="AJ13" s="620"/>
      <c r="AK13" s="620"/>
      <c r="AL13" s="620"/>
      <c r="AM13" s="622">
        <v>15</v>
      </c>
    </row>
    <row s="1869" customFormat="1" customHeight="1" ht="15.75">
      <c r="A14" s="309"/>
      <c r="B14" s="309"/>
      <c r="C14" s="192"/>
      <c r="D14" s="2124"/>
      <c r="E14" s="2126"/>
      <c r="F14" s="2123"/>
      <c r="G14" s="2129"/>
      <c r="H14" s="2130"/>
      <c r="I14" s="2122"/>
      <c r="J14" s="2123"/>
      <c r="K14" s="437"/>
      <c r="L14" s="193"/>
      <c r="M14" s="623" t="s">
        <v>188</v>
      </c>
      <c r="N14" s="828"/>
      <c r="O14" s="1432"/>
      <c r="P14" s="1429"/>
      <c r="Q14" s="1429"/>
      <c r="R14" s="1429"/>
      <c r="S14" s="1432"/>
      <c r="T14" s="1432"/>
      <c r="U14" s="1282"/>
      <c r="V14" s="1282"/>
      <c r="W14" s="1282"/>
      <c r="X14" s="1282"/>
      <c r="Y14" s="620"/>
      <c r="Z14" s="620"/>
      <c r="AA14" s="620"/>
      <c r="AB14" s="620"/>
      <c r="AC14" s="620"/>
      <c r="AD14" s="620"/>
      <c r="AE14" s="620"/>
      <c r="AF14" s="620"/>
      <c r="AG14" s="620"/>
      <c r="AH14" s="620"/>
      <c r="AI14" s="620"/>
      <c r="AJ14" s="620"/>
      <c r="AK14" s="620"/>
      <c r="AL14" s="620"/>
      <c r="AM14" s="622">
        <v>15</v>
      </c>
    </row>
    <row s="1869" customFormat="1" customHeight="1" ht="15.75">
      <c r="A15" s="309"/>
      <c r="B15" s="309"/>
      <c r="C15" s="192"/>
      <c r="D15" s="2124"/>
      <c r="E15" s="2127"/>
      <c r="F15" s="2123"/>
      <c r="G15" s="1076"/>
      <c r="H15" s="1077"/>
      <c r="I15" s="596" t="s">
        <v>189</v>
      </c>
      <c r="J15" s="193"/>
      <c r="K15" s="193"/>
      <c r="L15" s="193"/>
      <c r="M15" s="624"/>
      <c r="N15" s="828"/>
      <c r="O15" s="1432"/>
      <c r="P15" s="1429"/>
      <c r="Q15" s="1429"/>
      <c r="R15" s="1429"/>
      <c r="S15" s="1432"/>
      <c r="T15" s="1432"/>
      <c r="U15" s="1282"/>
      <c r="V15" s="1282"/>
      <c r="W15" s="1282"/>
      <c r="X15" s="1282"/>
      <c r="Y15" s="620"/>
      <c r="Z15" s="620"/>
      <c r="AA15" s="620"/>
      <c r="AB15" s="620"/>
      <c r="AC15" s="620"/>
      <c r="AD15" s="620"/>
      <c r="AE15" s="620"/>
      <c r="AF15" s="620"/>
      <c r="AG15" s="620"/>
      <c r="AH15" s="620"/>
      <c r="AI15" s="620"/>
      <c r="AJ15" s="620"/>
      <c r="AK15" s="620"/>
      <c r="AL15" s="620"/>
      <c r="AM15" s="622">
        <v>15</v>
      </c>
    </row>
    <row customHeight="1" ht="15.75">
      <c r="A16" s="625"/>
      <c r="B16" s="151"/>
      <c r="C16" s="822"/>
      <c r="D16" s="437"/>
      <c r="E16" s="587" t="s">
        <v>190</v>
      </c>
      <c r="F16" s="193"/>
      <c r="G16" s="193"/>
      <c r="H16" s="193"/>
      <c r="I16" s="193"/>
      <c r="J16" s="193"/>
      <c r="K16" s="193" t="s">
        <v>28</v>
      </c>
      <c r="L16" s="193"/>
      <c r="M16" s="624"/>
      <c r="N16" s="1643"/>
      <c r="AM16" s="599">
        <v>15</v>
      </c>
    </row>
    <row customHeight="1" ht="11.25" hidden="1">
      <c r="A17" s="599" t="s">
        <v>85</v>
      </c>
      <c r="B17" s="599">
        <v>0</v>
      </c>
      <c r="C17" s="599">
        <v>3</v>
      </c>
      <c r="D17" s="599">
        <v>4</v>
      </c>
      <c r="E17" s="599">
        <v>44</v>
      </c>
      <c r="F17" s="599">
        <v>6</v>
      </c>
      <c r="G17" s="599">
        <v>4</v>
      </c>
      <c r="H17" s="599">
        <v>5</v>
      </c>
      <c r="I17" s="599">
        <v>52</v>
      </c>
      <c r="J17" s="599">
        <v>6</v>
      </c>
      <c r="K17" s="599">
        <v>3</v>
      </c>
      <c r="L17" s="599">
        <v>6</v>
      </c>
      <c r="M17" s="599">
        <v>56</v>
      </c>
      <c r="N17" s="600">
        <v>8</v>
      </c>
      <c r="O17" s="1429">
        <v>0</v>
      </c>
      <c r="P17" s="1429">
        <v>0</v>
      </c>
      <c r="Q17" s="1429">
        <v>0</v>
      </c>
      <c r="R17" s="1429">
        <v>0</v>
      </c>
      <c r="S17" s="1429">
        <v>0</v>
      </c>
      <c r="T17" s="1429">
        <v>0</v>
      </c>
      <c r="U17" s="1279">
        <v>0</v>
      </c>
      <c r="V17" s="1279">
        <v>0</v>
      </c>
      <c r="W17" s="1279">
        <v>0</v>
      </c>
      <c r="X17" s="1279">
        <v>0</v>
      </c>
      <c r="Y17" s="600">
        <v>0</v>
      </c>
      <c r="Z17" s="600">
        <v>0</v>
      </c>
      <c r="AA17" s="600">
        <v>0</v>
      </c>
      <c r="AB17" s="600">
        <v>0</v>
      </c>
      <c r="AC17" s="600">
        <v>0</v>
      </c>
      <c r="AD17" s="600">
        <v>0</v>
      </c>
      <c r="AE17" s="600">
        <v>0</v>
      </c>
      <c r="AF17" s="600">
        <v>0</v>
      </c>
      <c r="AG17" s="600">
        <v>0</v>
      </c>
      <c r="AH17" s="600">
        <v>0</v>
      </c>
      <c r="AI17" s="600">
        <v>0</v>
      </c>
      <c r="AJ17" s="600">
        <v>0</v>
      </c>
      <c r="AK17" s="600">
        <v>0</v>
      </c>
      <c r="AL17" s="600">
        <v>8</v>
      </c>
      <c r="AM17" s="59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0BD6A-C375-B633-B477-B3303B06226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8" width="9.140625" hidden="1" customWidth="1"/>
    <col min="2" max="2" style="1651" width="9.140625" hidden="1" customWidth="1"/>
    <col min="3" max="3" style="699" width="4.00390625" customWidth="1"/>
    <col min="4" max="4" style="1651" width="6.00390625" customWidth="1"/>
    <col min="5" max="5" style="1651" width="36.00390625" customWidth="1"/>
    <col min="6" max="6" style="1651" width="9.00390625" customWidth="1"/>
    <col min="7" max="7" style="1651" width="25.7109375" hidden="1" customWidth="1"/>
    <col min="8" max="8" style="1651" width="33.7109375" hidden="1" customWidth="1"/>
    <col min="9" max="9" style="1651" width="25.7109375" customWidth="1"/>
    <col min="10" max="10" style="1651" width="33.00390625" customWidth="1"/>
    <col min="11" max="11" style="1382" width="93.00390625" customWidth="1"/>
    <col min="12" max="20" style="1651" width="10.00390625" customWidth="1"/>
    <col min="21" max="21" style="691" width="10.00390625" customWidth="1"/>
    <col min="22" max="22" style="1651" width="10.57421875" hidden="1"/>
  </cols>
  <sheetData>
    <row s="1382" customFormat="1" customHeight="1" ht="22.5" hidden="1">
      <c r="C1" s="688"/>
      <c r="G1" s="433">
        <v>4</v>
      </c>
      <c r="I1" s="433">
        <v>4</v>
      </c>
      <c r="U1" s="436"/>
      <c r="V1" s="433" t="s">
        <v>14</v>
      </c>
    </row>
    <row s="1382" customFormat="1" customHeight="1" ht="15" hidden="1">
      <c r="C2" s="688"/>
      <c r="U2" s="436"/>
      <c r="V2" s="433">
        <v>0</v>
      </c>
    </row>
    <row customHeight="1" ht="22.5" hidden="1">
      <c r="A3" s="521"/>
      <c r="B3" s="2413"/>
      <c r="C3" s="2414" t="s">
        <v>108</v>
      </c>
      <c r="D3" s="705" t="str">
        <f>B3&amp;".1"</f>
        <v>.1</v>
      </c>
      <c r="E3" s="706" t="s">
        <v>1088</v>
      </c>
      <c r="F3" s="707" t="s">
        <v>459</v>
      </c>
      <c r="G3" s="702"/>
      <c r="H3" s="417"/>
      <c r="I3" s="702"/>
      <c r="J3" s="417"/>
      <c r="K3" s="305" t="s">
        <v>1089</v>
      </c>
      <c r="V3" s="521">
        <v>0</v>
      </c>
    </row>
    <row customHeight="1" ht="15" hidden="1">
      <c r="A4" s="521"/>
      <c r="B4" s="2413"/>
      <c r="C4" s="2414"/>
      <c r="D4" s="705" t="str">
        <f>B3&amp;".2"</f>
        <v>.2</v>
      </c>
      <c r="E4" s="706" t="s">
        <v>1090</v>
      </c>
      <c r="F4" s="707" t="s">
        <v>459</v>
      </c>
      <c r="G4" s="1754" t="s">
        <v>28</v>
      </c>
      <c r="H4" s="417"/>
      <c r="I4" s="1754" t="s">
        <v>28</v>
      </c>
      <c r="J4" s="417"/>
      <c r="K4" s="305" t="s">
        <v>1091</v>
      </c>
      <c r="V4" s="521">
        <v>0</v>
      </c>
    </row>
    <row s="1382" customFormat="1" customHeight="1" ht="15" hidden="1">
      <c r="C5" s="688"/>
      <c r="U5" s="436"/>
      <c r="V5" s="433">
        <v>0</v>
      </c>
    </row>
    <row customHeight="1" ht="22.5" hidden="1">
      <c r="A6" s="521"/>
      <c r="B6" s="2413"/>
      <c r="C6" s="2414" t="s">
        <v>108</v>
      </c>
      <c r="D6" s="705" t="str">
        <f>B6&amp;".1"</f>
        <v>.1</v>
      </c>
      <c r="E6" s="706" t="s">
        <v>1092</v>
      </c>
      <c r="F6" s="707" t="s">
        <v>459</v>
      </c>
      <c r="G6" s="702"/>
      <c r="H6" s="417"/>
      <c r="I6" s="702"/>
      <c r="J6" s="417"/>
      <c r="K6" s="305" t="s">
        <v>1093</v>
      </c>
      <c r="V6" s="521">
        <v>0</v>
      </c>
    </row>
    <row customHeight="1" ht="15" hidden="1">
      <c r="A7" s="521"/>
      <c r="B7" s="2413"/>
      <c r="C7" s="2414"/>
      <c r="D7" s="705" t="str">
        <f>B6&amp;".2"</f>
        <v>.2</v>
      </c>
      <c r="E7" s="706" t="s">
        <v>1090</v>
      </c>
      <c r="F7" s="707" t="s">
        <v>459</v>
      </c>
      <c r="G7" s="1754" t="s">
        <v>28</v>
      </c>
      <c r="H7" s="417"/>
      <c r="I7" s="1754" t="s">
        <v>28</v>
      </c>
      <c r="J7" s="417"/>
      <c r="K7" s="305" t="s">
        <v>1091</v>
      </c>
      <c r="V7" s="521">
        <v>0</v>
      </c>
    </row>
    <row s="1382" customFormat="1" customHeight="1" ht="15" hidden="1">
      <c r="C8" s="688"/>
      <c r="U8" s="436"/>
      <c r="V8" s="433">
        <v>0</v>
      </c>
    </row>
    <row customHeight="1" ht="22.5" hidden="1">
      <c r="A9" s="521"/>
      <c r="B9" s="2413"/>
      <c r="C9" s="2414" t="s">
        <v>108</v>
      </c>
      <c r="D9" s="705" t="str">
        <f>B9&amp;".1"</f>
        <v>.1</v>
      </c>
      <c r="E9" s="706" t="s">
        <v>1094</v>
      </c>
      <c r="F9" s="707" t="s">
        <v>459</v>
      </c>
      <c r="G9" s="713" t="s">
        <v>28</v>
      </c>
      <c r="H9" s="417" t="s">
        <v>28</v>
      </c>
      <c r="I9" s="713" t="s">
        <v>28</v>
      </c>
      <c r="J9" s="417" t="s">
        <v>28</v>
      </c>
      <c r="K9" s="305"/>
      <c r="V9" s="521">
        <v>0</v>
      </c>
    </row>
    <row customHeight="1" ht="15" hidden="1">
      <c r="A10" s="521"/>
      <c r="B10" s="2413"/>
      <c r="C10" s="2414"/>
      <c r="D10" s="705" t="str">
        <f>B9&amp;".2"</f>
        <v>.2</v>
      </c>
      <c r="E10" s="706" t="s">
        <v>1095</v>
      </c>
      <c r="F10" s="707" t="s">
        <v>459</v>
      </c>
      <c r="G10" s="1748" t="s">
        <v>28</v>
      </c>
      <c r="H10" s="417" t="s">
        <v>28</v>
      </c>
      <c r="I10" s="1748" t="s">
        <v>28</v>
      </c>
      <c r="J10" s="417" t="s">
        <v>28</v>
      </c>
      <c r="K10" s="305" t="s">
        <v>1096</v>
      </c>
      <c r="V10" s="521">
        <v>0</v>
      </c>
    </row>
    <row customHeight="1" ht="15" hidden="1">
      <c r="A11" s="521"/>
      <c r="B11" s="2413"/>
      <c r="C11" s="2414"/>
      <c r="D11" s="705" t="str">
        <f>B9&amp;".3"</f>
        <v>.3</v>
      </c>
      <c r="E11" s="706" t="s">
        <v>1097</v>
      </c>
      <c r="F11" s="707" t="s">
        <v>459</v>
      </c>
      <c r="G11" s="1748" t="s">
        <v>28</v>
      </c>
      <c r="H11" s="417" t="s">
        <v>28</v>
      </c>
      <c r="I11" s="1748" t="s">
        <v>28</v>
      </c>
      <c r="J11" s="417" t="s">
        <v>28</v>
      </c>
      <c r="K11" s="305" t="s">
        <v>1098</v>
      </c>
      <c r="V11" s="521">
        <v>0</v>
      </c>
    </row>
    <row s="1382" customFormat="1" customHeight="1" ht="15" hidden="1">
      <c r="C12" s="688"/>
      <c r="U12" s="436"/>
      <c r="V12" s="433">
        <v>0</v>
      </c>
    </row>
    <row customHeight="1" ht="33.75" hidden="1">
      <c r="A13" s="521"/>
      <c r="B13" s="2413"/>
      <c r="C13" s="2414" t="s">
        <v>108</v>
      </c>
      <c r="D13" s="705" t="str">
        <f>B13&amp;".1"</f>
        <v>.1</v>
      </c>
      <c r="E13" s="706" t="s">
        <v>1099</v>
      </c>
      <c r="F13" s="707" t="s">
        <v>459</v>
      </c>
      <c r="G13" s="713" t="s">
        <v>28</v>
      </c>
      <c r="H13" s="417" t="s">
        <v>28</v>
      </c>
      <c r="I13" s="713" t="s">
        <v>28</v>
      </c>
      <c r="J13" s="417" t="s">
        <v>28</v>
      </c>
      <c r="K13" s="305" t="s">
        <v>1100</v>
      </c>
      <c r="V13" s="521">
        <v>0</v>
      </c>
    </row>
    <row customHeight="1" ht="15" hidden="1">
      <c r="B14" s="2413"/>
      <c r="C14" s="2414"/>
      <c r="D14" s="705" t="str">
        <f>B13&amp;".2"</f>
        <v>.2</v>
      </c>
      <c r="E14" s="706" t="s">
        <v>1101</v>
      </c>
      <c r="F14" s="707" t="s">
        <v>459</v>
      </c>
      <c r="G14" s="1748" t="s">
        <v>28</v>
      </c>
      <c r="H14" s="417" t="s">
        <v>28</v>
      </c>
      <c r="I14" s="1748" t="s">
        <v>28</v>
      </c>
      <c r="J14" s="417" t="s">
        <v>28</v>
      </c>
      <c r="K14" s="305" t="s">
        <v>1102</v>
      </c>
      <c r="V14" s="521">
        <v>0</v>
      </c>
    </row>
    <row s="1382" customFormat="1" customHeight="1" ht="15" hidden="1">
      <c r="C15" s="688"/>
      <c r="U15" s="436"/>
      <c r="V15" s="433">
        <v>0</v>
      </c>
    </row>
    <row s="1382" customFormat="1" customHeight="1" ht="15" hidden="1">
      <c r="C16" s="688"/>
      <c r="U16" s="436"/>
      <c r="V16" s="433">
        <v>0</v>
      </c>
    </row>
    <row s="1382" customFormat="1" customHeight="1" ht="15" hidden="1">
      <c r="C17" s="688"/>
      <c r="U17" s="436"/>
      <c r="V17" s="433">
        <v>0</v>
      </c>
    </row>
    <row s="1382" customFormat="1" customHeight="1" ht="15" hidden="1">
      <c r="C18" s="688"/>
      <c r="U18" s="436"/>
      <c r="V18" s="433">
        <v>0</v>
      </c>
    </row>
    <row s="1382" customFormat="1" customHeight="1" ht="15" hidden="1">
      <c r="C19" s="688"/>
      <c r="U19" s="436"/>
      <c r="V19" s="433">
        <v>0</v>
      </c>
    </row>
    <row s="1382" customFormat="1" customHeight="1" ht="15" hidden="1">
      <c r="C20" s="688"/>
      <c r="U20" s="436"/>
      <c r="V20" s="433">
        <v>0</v>
      </c>
    </row>
    <row customHeight="1" ht="15.75">
      <c r="C21" s="192"/>
      <c r="D21" s="525"/>
      <c r="E21" s="525"/>
      <c r="F21" s="525"/>
      <c r="G21" s="525"/>
      <c r="H21" s="525"/>
      <c r="I21" s="525"/>
      <c r="J21" s="525"/>
      <c r="V21" s="521">
        <v>15</v>
      </c>
    </row>
    <row customHeight="1" ht="23.25">
      <c r="C22" s="192"/>
      <c r="D22"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3"/>
      <c r="F22" s="2253"/>
      <c r="G22" s="2253"/>
      <c r="H22" s="2253"/>
      <c r="I22" s="2253"/>
      <c r="J22" s="692"/>
      <c r="K22" s="553"/>
      <c r="V22" s="521">
        <v>22</v>
      </c>
    </row>
    <row customHeight="1" ht="15.75">
      <c r="C23" s="192"/>
      <c r="D23" s="2192" t="str">
        <f>IF(org=0,"Не определено",org)</f>
        <v>КГУП "Примтеплоэнерго"</v>
      </c>
      <c r="E23" s="2192"/>
      <c r="F23" s="2192"/>
      <c r="G23" s="2192"/>
      <c r="H23" s="2192"/>
      <c r="I23" s="2192"/>
      <c r="J23" s="692"/>
      <c r="K23" s="553"/>
      <c r="V23" s="521">
        <v>15</v>
      </c>
    </row>
    <row customHeight="1" ht="15.75">
      <c r="C24" s="192"/>
      <c r="D24" s="525"/>
      <c r="E24" s="525"/>
      <c r="F24" s="525"/>
      <c r="G24" s="553">
        <v>22</v>
      </c>
      <c r="H24" s="768"/>
      <c r="I24" s="553">
        <v>22</v>
      </c>
      <c r="J24" s="768"/>
      <c r="V24" s="521">
        <v>15</v>
      </c>
    </row>
    <row s="1651" customFormat="1" customHeight="1" ht="1.05">
      <c r="A25" s="775"/>
      <c r="C25" s="192"/>
      <c r="D25" s="525"/>
      <c r="E25" s="525"/>
      <c r="F25" s="525"/>
      <c r="G25" s="553"/>
      <c r="H25" s="768"/>
      <c r="I25" s="553" t="s">
        <v>186</v>
      </c>
      <c r="J25" s="768"/>
      <c r="K25" s="433"/>
      <c r="U25" s="691"/>
      <c r="V25" s="774">
        <v>1</v>
      </c>
    </row>
    <row customHeight="1" ht="15.75">
      <c r="C26" s="192"/>
      <c r="D26" s="727"/>
      <c r="E26" s="2383" t="s">
        <v>178</v>
      </c>
      <c r="F26" s="2384"/>
      <c r="G26" s="2411" t="str">
        <f>IF(G25="","",INDEX(DIFFERENTIATION_UNMERGE_VD,MATCH(G25,DIFFERENTIATION_ID_DIFF,0)))</f>
        <v/>
      </c>
      <c r="H26" s="2412"/>
      <c r="I26" s="2411">
        <f>IF(I25="","",INDEX(DIFFERENTIATION_UNMERGE_VD,MATCH(I25,DIFFERENTIATION_ID_DIFF,0)))</f>
        <v>0</v>
      </c>
      <c r="J26" s="2412"/>
      <c r="K26" s="2191" t="s">
        <v>454</v>
      </c>
      <c r="V26" s="521">
        <v>15</v>
      </c>
    </row>
    <row s="1651" customFormat="1" customHeight="1" ht="15.75">
      <c r="A27" s="775"/>
      <c r="C27" s="192"/>
      <c r="D27" s="727"/>
      <c r="E27" s="2383" t="s">
        <v>717</v>
      </c>
      <c r="F27" s="2384"/>
      <c r="G27" s="2411" t="str">
        <f>IF(G25="","",INDEX(DIFFERENTIATION_UNMERGE_AREA,MATCH(G25,DIFFERENTIATION_ID_DIFF,0)))</f>
        <v/>
      </c>
      <c r="H27" s="2412"/>
      <c r="I27" s="2411" t="str">
        <f>IF(I25="","",INDEX(DIFFERENTIATION_UNMERGE_AREA,MATCH(I25,DIFFERENTIATION_ID_DIFF,0)))</f>
        <v/>
      </c>
      <c r="J27" s="2412"/>
      <c r="K27" s="2211"/>
      <c r="U27" s="691"/>
      <c r="V27" s="774">
        <v>15</v>
      </c>
    </row>
    <row s="1651" customFormat="1" customHeight="1" ht="15.75">
      <c r="A28" s="775"/>
      <c r="C28" s="192"/>
      <c r="D28" s="727"/>
      <c r="E28" s="2383" t="s">
        <v>718</v>
      </c>
      <c r="F28" s="2384"/>
      <c r="G28" s="2411" t="str">
        <f>IF(G25="","",INDEX(DIFFERENTIATION_UNMERGE_SYSTEM,MATCH(G25,DIFFERENTIATION_ID_DIFF,0)))</f>
        <v/>
      </c>
      <c r="H28" s="2412"/>
      <c r="I28" s="2411" t="str">
        <f>IF(I25="","",INDEX(DIFFERENTIATION_UNMERGE_SYSTEM,MATCH(I25,DIFFERENTIATION_ID_DIFF,0)))</f>
        <v>без дифференциации</v>
      </c>
      <c r="J28" s="2412"/>
      <c r="K28" s="2211"/>
      <c r="U28" s="691"/>
      <c r="V28" s="774">
        <v>15</v>
      </c>
    </row>
    <row s="1651" customFormat="1" customHeight="1" ht="15.75">
      <c r="A29" s="775"/>
      <c r="C29" s="192"/>
      <c r="D29" s="2385" t="s">
        <v>453</v>
      </c>
      <c r="E29" s="2386"/>
      <c r="F29" s="2386"/>
      <c r="G29" s="903"/>
      <c r="H29" s="903"/>
      <c r="I29" s="903"/>
      <c r="J29" s="904"/>
      <c r="K29" s="2211"/>
      <c r="U29" s="691"/>
      <c r="V29" s="774">
        <v>15</v>
      </c>
    </row>
    <row customHeight="1" ht="35.699999999999996">
      <c r="C30" s="192"/>
      <c r="D30" s="777" t="s">
        <v>91</v>
      </c>
      <c r="E30" s="776" t="s">
        <v>455</v>
      </c>
      <c r="F30" s="776" t="s">
        <v>719</v>
      </c>
      <c r="G30" s="824" t="s">
        <v>456</v>
      </c>
      <c r="H30" s="823" t="s">
        <v>543</v>
      </c>
      <c r="I30" s="700" t="s">
        <v>456</v>
      </c>
      <c r="J30" s="481" t="s">
        <v>543</v>
      </c>
      <c r="K30" s="2217"/>
      <c r="V30" s="521">
        <v>34</v>
      </c>
    </row>
    <row customHeight="1" ht="15" hidden="1">
      <c r="C31" s="192"/>
      <c r="D31" s="609"/>
      <c r="E31" s="609"/>
      <c r="F31" s="609"/>
      <c r="G31" s="675"/>
      <c r="H31" s="675"/>
      <c r="I31" s="675"/>
      <c r="J31" s="675"/>
      <c r="K31" s="305"/>
      <c r="V31" s="521">
        <v>0</v>
      </c>
    </row>
    <row customHeight="1" ht="24">
      <c r="A32" s="521"/>
      <c r="B32" s="521" t="s">
        <v>1103</v>
      </c>
      <c r="C32" s="542"/>
      <c r="D32" s="708">
        <v>1</v>
      </c>
      <c r="E32" s="709" t="s">
        <v>1104</v>
      </c>
      <c r="F32" s="707" t="s">
        <v>459</v>
      </c>
      <c r="G32" s="829" t="s">
        <v>459</v>
      </c>
      <c r="H32" s="829" t="s">
        <v>459</v>
      </c>
      <c r="I32" s="707" t="s">
        <v>459</v>
      </c>
      <c r="J32" s="707" t="s">
        <v>459</v>
      </c>
      <c r="K32" s="305"/>
      <c r="V32" s="521">
        <v>23</v>
      </c>
    </row>
    <row customHeight="1" ht="11.549999999999999">
      <c r="A33" s="521"/>
      <c r="C33" s="521"/>
      <c r="D33" s="363"/>
      <c r="E33" s="596" t="s">
        <v>739</v>
      </c>
      <c r="F33" s="588"/>
      <c r="G33" s="588"/>
      <c r="H33" s="588"/>
      <c r="I33" s="588"/>
      <c r="J33" s="588"/>
      <c r="K33" s="589"/>
      <c r="U33" s="521"/>
      <c r="V33" s="521">
        <v>11</v>
      </c>
    </row>
    <row customHeight="1" ht="24">
      <c r="A34" s="521"/>
      <c r="B34" s="597" t="s">
        <v>789</v>
      </c>
      <c r="C34" s="542"/>
      <c r="D34" s="708">
        <v>2</v>
      </c>
      <c r="E34" s="709" t="s">
        <v>1105</v>
      </c>
      <c r="F34" s="836" t="s">
        <v>459</v>
      </c>
      <c r="G34" s="836" t="s">
        <v>459</v>
      </c>
      <c r="H34" s="836" t="s">
        <v>459</v>
      </c>
      <c r="I34" s="707"/>
      <c r="J34" s="707"/>
      <c r="K34" s="305"/>
      <c r="V34" s="521">
        <v>23</v>
      </c>
    </row>
    <row customHeight="1" ht="11.549999999999999">
      <c r="A35" s="521"/>
      <c r="C35" s="521"/>
      <c r="D35" s="363"/>
      <c r="E35" s="596" t="s">
        <v>1106</v>
      </c>
      <c r="F35" s="588"/>
      <c r="G35" s="710"/>
      <c r="H35" s="588"/>
      <c r="I35" s="710"/>
      <c r="J35" s="588"/>
      <c r="K35" s="589"/>
      <c r="U35" s="521"/>
      <c r="V35" s="521">
        <v>11</v>
      </c>
    </row>
    <row customHeight="1" ht="71.25">
      <c r="A36" s="521"/>
      <c r="B36" s="521" t="s">
        <v>1107</v>
      </c>
      <c r="C36" s="542"/>
      <c r="D36" s="708">
        <v>3</v>
      </c>
      <c r="E36" s="709" t="s">
        <v>1108</v>
      </c>
      <c r="F36" s="711" t="s">
        <v>459</v>
      </c>
      <c r="G36" s="830" t="s">
        <v>1109</v>
      </c>
      <c r="H36" s="829" t="s">
        <v>459</v>
      </c>
      <c r="I36" s="540" t="s">
        <v>1109</v>
      </c>
      <c r="J36" s="707" t="s">
        <v>459</v>
      </c>
      <c r="K36" s="305" t="s">
        <v>1110</v>
      </c>
      <c r="V36" s="521">
        <v>68</v>
      </c>
    </row>
    <row customHeight="1" ht="11.549999999999999">
      <c r="A37" s="521"/>
      <c r="C37" s="521"/>
      <c r="D37" s="363"/>
      <c r="E37" s="596" t="s">
        <v>1111</v>
      </c>
      <c r="F37" s="588"/>
      <c r="G37" s="710"/>
      <c r="H37" s="710"/>
      <c r="I37" s="710"/>
      <c r="J37" s="710"/>
      <c r="K37" s="589"/>
      <c r="U37" s="521"/>
      <c r="V37" s="521">
        <v>11</v>
      </c>
    </row>
    <row customHeight="1" ht="71.25">
      <c r="A38" s="521"/>
      <c r="B38" s="521" t="s">
        <v>1112</v>
      </c>
      <c r="C38" s="542"/>
      <c r="D38" s="708">
        <v>4</v>
      </c>
      <c r="E38" s="709" t="s">
        <v>1113</v>
      </c>
      <c r="F38" s="711" t="s">
        <v>459</v>
      </c>
      <c r="G38" s="830" t="s">
        <v>1109</v>
      </c>
      <c r="H38" s="831" t="s">
        <v>459</v>
      </c>
      <c r="I38" s="540" t="s">
        <v>1109</v>
      </c>
      <c r="J38" s="537" t="s">
        <v>459</v>
      </c>
      <c r="K38" s="695" t="s">
        <v>1114</v>
      </c>
      <c r="V38" s="521">
        <v>68</v>
      </c>
    </row>
    <row customHeight="1" ht="11.549999999999999">
      <c r="A39" s="521"/>
      <c r="C39" s="521"/>
      <c r="D39" s="363"/>
      <c r="E39" s="596" t="s">
        <v>1115</v>
      </c>
      <c r="F39" s="588"/>
      <c r="G39" s="588"/>
      <c r="H39" s="712"/>
      <c r="I39" s="588"/>
      <c r="J39" s="712"/>
      <c r="K39" s="589"/>
      <c r="U39" s="521"/>
      <c r="V39" s="521">
        <v>11</v>
      </c>
    </row>
    <row customHeight="1" ht="22.5" hidden="1">
      <c r="A40" s="465" t="s">
        <v>85</v>
      </c>
      <c r="B40" s="521">
        <v>0</v>
      </c>
      <c r="C40" s="699">
        <v>4</v>
      </c>
      <c r="D40" s="521">
        <v>6</v>
      </c>
      <c r="E40" s="521">
        <v>36</v>
      </c>
      <c r="F40" s="521">
        <v>9</v>
      </c>
      <c r="G40" s="774">
        <v>0</v>
      </c>
      <c r="H40" s="774">
        <v>0</v>
      </c>
      <c r="I40" s="521">
        <v>25</v>
      </c>
      <c r="J40" s="521">
        <v>33</v>
      </c>
      <c r="K40" s="433">
        <v>93</v>
      </c>
      <c r="L40" s="521">
        <v>10</v>
      </c>
      <c r="M40" s="521">
        <v>10</v>
      </c>
      <c r="N40" s="521">
        <v>10</v>
      </c>
      <c r="O40" s="521">
        <v>10</v>
      </c>
      <c r="P40" s="521">
        <v>10</v>
      </c>
      <c r="Q40" s="521">
        <v>10</v>
      </c>
      <c r="R40" s="521">
        <v>10</v>
      </c>
      <c r="S40" s="521">
        <v>10</v>
      </c>
      <c r="T40" s="521">
        <v>10</v>
      </c>
      <c r="U40" s="691">
        <v>10</v>
      </c>
      <c r="V40" s="52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187BD-1BC7-BB81-2FE4-B693A804433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82" width="6.7109375" hidden="1" customWidth="1"/>
    <col min="4" max="4" style="1382" width="6.7109375" hidden="1" customWidth="1"/>
    <col min="5" max="5" style="1651" width="3.00390625" customWidth="1"/>
    <col min="6" max="6" style="1651" width="6.00390625" customWidth="1"/>
    <col min="7" max="7" style="1651" width="37.00390625" customWidth="1"/>
    <col min="8" max="8" style="1651" width="16.00390625" customWidth="1"/>
    <col min="9" max="10" style="1651" width="19.00390625" customWidth="1"/>
    <col min="11" max="11" style="1651" width="24.00390625" customWidth="1"/>
    <col min="12" max="13" style="1651" width="25.00390625" customWidth="1"/>
    <col min="14" max="16" style="1651" width="17.00390625" customWidth="1"/>
    <col min="17" max="24" style="1651" width="19.00390625" customWidth="1"/>
    <col min="25" max="25" style="1651" width="7.00390625" customWidth="1"/>
    <col min="26" max="26" style="1651" width="3.00390625" customWidth="1"/>
    <col min="27" max="27" style="1651" width="6.00390625" customWidth="1"/>
    <col min="28" max="28" style="1651" width="34.00390625" customWidth="1"/>
    <col min="29" max="30" style="1651" width="8.00390625" customWidth="1"/>
    <col min="31" max="31" style="1651" width="9.140625" hidden="1"/>
  </cols>
  <sheetData>
    <row s="1382" customFormat="1" customHeight="1" ht="10.5" hidden="1">
      <c r="A1" s="911"/>
      <c r="B1" s="911"/>
      <c r="C1" s="911"/>
      <c r="E1" s="553"/>
      <c r="H1" s="1176"/>
      <c r="AE1" s="433" t="s">
        <v>14</v>
      </c>
    </row>
    <row customHeight="1" ht="10.5" hidden="1">
      <c r="AE2" s="774">
        <v>0</v>
      </c>
    </row>
    <row s="1648" customFormat="1" customHeight="1" ht="10.5" hidden="1">
      <c r="A3" s="911"/>
      <c r="B3" s="911"/>
      <c r="C3" s="911"/>
      <c r="D3" s="433"/>
      <c r="E3" s="378"/>
      <c r="G3" s="1648" t="s">
        <v>1116</v>
      </c>
      <c r="H3" s="1172"/>
      <c r="AE3" s="775">
        <v>0</v>
      </c>
    </row>
    <row customHeight="1" ht="3">
      <c r="AE4" s="774">
        <v>3</v>
      </c>
    </row>
    <row customHeight="1" ht="27.299999999999997">
      <c r="F5" s="2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4"/>
      <c r="H5" s="2264"/>
      <c r="I5" s="2264"/>
      <c r="J5" s="2264"/>
      <c r="K5" s="2264"/>
      <c r="M5" s="598"/>
      <c r="AB5" s="922"/>
      <c r="AE5" s="774">
        <v>26</v>
      </c>
    </row>
    <row s="1651" customFormat="1" customHeight="1" ht="16.8">
      <c r="A6" s="1182"/>
      <c r="B6" s="1182"/>
      <c r="C6" s="1182"/>
      <c r="D6" s="1176"/>
      <c r="E6" s="1651"/>
      <c r="F6" s="2265" t="str">
        <f>IF(org=0,"Не определено",org)</f>
        <v>КГУП "Примтеплоэнерго"</v>
      </c>
      <c r="G6" s="2265"/>
      <c r="H6" s="2265"/>
      <c r="I6" s="2265"/>
      <c r="J6" s="2265"/>
      <c r="K6" s="2265"/>
      <c r="M6" s="598"/>
      <c r="AB6" s="1164"/>
      <c r="AE6" s="1647">
        <v>16</v>
      </c>
    </row>
    <row customHeight="1" ht="10.5">
      <c r="AE7" s="774">
        <v>10</v>
      </c>
    </row>
    <row customHeight="1" ht="10.5">
      <c r="A8" s="1067"/>
      <c r="B8" s="1067"/>
      <c r="C8" s="1067"/>
      <c r="F8" s="2117" t="s">
        <v>453</v>
      </c>
      <c r="G8" s="2118"/>
      <c r="H8" s="2118"/>
      <c r="I8" s="2118"/>
      <c r="J8" s="2118"/>
      <c r="K8" s="2118"/>
      <c r="L8" s="2118"/>
      <c r="M8" s="2118"/>
      <c r="N8" s="2118"/>
      <c r="O8" s="2118"/>
      <c r="P8" s="2118"/>
      <c r="Q8" s="2118"/>
      <c r="R8" s="2118"/>
      <c r="S8" s="2118"/>
      <c r="T8" s="2118"/>
      <c r="U8" s="2118"/>
      <c r="V8" s="2118"/>
      <c r="W8" s="2118"/>
      <c r="X8" s="2118"/>
      <c r="Y8" s="2118"/>
      <c r="Z8" s="2118"/>
      <c r="AA8" s="2118"/>
      <c r="AB8" s="2119"/>
      <c r="AE8" s="774">
        <v>10</v>
      </c>
    </row>
    <row customHeight="1" ht="43.050000000000004">
      <c r="A9" s="921"/>
      <c r="B9" s="921"/>
      <c r="C9" s="921"/>
      <c r="F9" s="2143" t="s">
        <v>91</v>
      </c>
      <c r="G9" s="2143" t="s">
        <v>1116</v>
      </c>
      <c r="H9" s="2191" t="s">
        <v>1117</v>
      </c>
      <c r="I9" s="2143" t="s">
        <v>1118</v>
      </c>
      <c r="J9" s="2143" t="s">
        <v>1119</v>
      </c>
      <c r="K9" s="2143" t="s">
        <v>1120</v>
      </c>
      <c r="L9" s="2143" t="s">
        <v>1121</v>
      </c>
      <c r="M9" s="2143" t="s">
        <v>1122</v>
      </c>
      <c r="N9" s="2225" t="s">
        <v>1123</v>
      </c>
      <c r="O9" s="2225"/>
      <c r="P9" s="2225"/>
      <c r="Q9" s="2415" t="s">
        <v>1124</v>
      </c>
      <c r="R9" s="2416"/>
      <c r="S9" s="2416"/>
      <c r="T9" s="2417"/>
      <c r="U9" s="2415" t="s">
        <v>1125</v>
      </c>
      <c r="V9" s="2416"/>
      <c r="W9" s="2416"/>
      <c r="X9" s="2417"/>
      <c r="Y9" s="2117" t="s">
        <v>1126</v>
      </c>
      <c r="Z9" s="2118"/>
      <c r="AA9" s="2118"/>
      <c r="AB9" s="2119"/>
      <c r="AE9" s="774">
        <v>41</v>
      </c>
    </row>
    <row customHeight="1" ht="43.050000000000004">
      <c r="A10" s="921"/>
      <c r="B10" s="921"/>
      <c r="C10" s="921"/>
      <c r="F10" s="2191"/>
      <c r="G10" s="2191"/>
      <c r="H10" s="2248"/>
      <c r="I10" s="2191"/>
      <c r="J10" s="2191"/>
      <c r="K10" s="2191"/>
      <c r="L10" s="2191"/>
      <c r="M10" s="2191"/>
      <c r="N10" s="919" t="s">
        <v>1127</v>
      </c>
      <c r="O10" s="919" t="s">
        <v>1128</v>
      </c>
      <c r="P10" s="920" t="s">
        <v>1129</v>
      </c>
      <c r="Q10" s="931" t="s">
        <v>92</v>
      </c>
      <c r="R10" s="931" t="s">
        <v>1130</v>
      </c>
      <c r="S10" s="931" t="s">
        <v>1131</v>
      </c>
      <c r="T10" s="932" t="s">
        <v>1132</v>
      </c>
      <c r="U10" s="931" t="s">
        <v>92</v>
      </c>
      <c r="V10" s="931" t="s">
        <v>1133</v>
      </c>
      <c r="W10" s="931" t="s">
        <v>1131</v>
      </c>
      <c r="X10" s="932" t="s">
        <v>1132</v>
      </c>
      <c r="Y10" s="317" t="s">
        <v>1134</v>
      </c>
      <c r="Z10" s="2117" t="s">
        <v>91</v>
      </c>
      <c r="AA10" s="2119"/>
      <c r="AB10" s="1065" t="s">
        <v>1135</v>
      </c>
      <c r="AE10" s="774">
        <v>41</v>
      </c>
    </row>
    <row s="1658" customFormat="1" customHeight="1" ht="5.25" hidden="1">
      <c r="A11" s="1068"/>
      <c r="B11" s="1068"/>
      <c r="C11" s="1068"/>
      <c r="E11" s="1066"/>
      <c r="F11" s="2422" t="s">
        <v>529</v>
      </c>
      <c r="G11" s="2419"/>
      <c r="H11" s="2418"/>
      <c r="I11" s="2418"/>
      <c r="J11" s="2418"/>
      <c r="K11" s="2420"/>
      <c r="L11" s="2420"/>
      <c r="M11" s="2420"/>
      <c r="N11" s="2418"/>
      <c r="O11" s="2418"/>
      <c r="P11" s="2143"/>
      <c r="Q11" s="2195"/>
      <c r="R11" s="2195"/>
      <c r="S11" s="2195"/>
      <c r="T11" s="2418"/>
      <c r="U11" s="2195"/>
      <c r="V11" s="2195"/>
      <c r="W11" s="2195"/>
      <c r="X11" s="2418"/>
      <c r="Y11" s="2124"/>
      <c r="Z11" s="2124"/>
      <c r="AA11" s="2124"/>
      <c r="AB11" s="2124"/>
      <c r="AD11" s="527" t="s">
        <v>1136</v>
      </c>
      <c r="AE11" s="527">
        <v>0</v>
      </c>
    </row>
    <row s="1658" customFormat="1" customHeight="1" ht="5.25" hidden="1">
      <c r="A12" s="912"/>
      <c r="B12" s="912"/>
      <c r="C12" s="912"/>
      <c r="E12" s="534"/>
      <c r="F12" s="2422"/>
      <c r="G12" s="2419"/>
      <c r="H12" s="2418"/>
      <c r="I12" s="2418"/>
      <c r="J12" s="2418"/>
      <c r="K12" s="2420"/>
      <c r="L12" s="2420"/>
      <c r="M12" s="2420"/>
      <c r="N12" s="2418"/>
      <c r="O12" s="2418"/>
      <c r="P12" s="2143"/>
      <c r="Q12" s="2195"/>
      <c r="R12" s="2195"/>
      <c r="S12" s="2195"/>
      <c r="T12" s="2418"/>
      <c r="U12" s="2195"/>
      <c r="V12" s="2195"/>
      <c r="W12" s="2195"/>
      <c r="X12" s="2418"/>
      <c r="Y12" s="2421"/>
      <c r="Z12" s="2421"/>
      <c r="AA12" s="2421"/>
      <c r="AB12" s="2421"/>
      <c r="AE12" s="527">
        <v>0</v>
      </c>
    </row>
    <row customHeight="1" ht="10.5">
      <c r="F13" s="918"/>
      <c r="G13" s="666" t="s">
        <v>1137</v>
      </c>
      <c r="H13" s="1184"/>
      <c r="I13" s="588"/>
      <c r="J13" s="588"/>
      <c r="K13" s="588"/>
      <c r="L13" s="588"/>
      <c r="M13" s="588"/>
      <c r="N13" s="588"/>
      <c r="O13" s="588"/>
      <c r="P13" s="588"/>
      <c r="Q13" s="588"/>
      <c r="R13" s="588"/>
      <c r="S13" s="588"/>
      <c r="T13" s="588"/>
      <c r="U13" s="588"/>
      <c r="V13" s="588"/>
      <c r="W13" s="588"/>
      <c r="X13" s="588"/>
      <c r="Y13" s="588"/>
      <c r="Z13" s="712"/>
      <c r="AA13" s="712"/>
      <c r="AB13" s="933"/>
      <c r="AE13" s="774">
        <v>10</v>
      </c>
    </row>
    <row customHeight="1" ht="10.5">
      <c r="AE14" s="774">
        <v>10</v>
      </c>
    </row>
    <row s="1658" customFormat="1" customHeight="1" ht="10.5">
      <c r="A15" s="1183"/>
      <c r="B15" s="1183"/>
      <c r="C15" s="1183"/>
      <c r="E15" s="534"/>
      <c r="H15" s="527">
        <f>_xlfn.IFERROR(MATCH("нет",IP_MAIN_DIFFERENTIATION_EVENTS_FLAG,0),0)</f>
        <v>0</v>
      </c>
      <c r="AE15" s="527">
        <v>10</v>
      </c>
    </row>
    <row customHeight="1" ht="10.5" hidden="1">
      <c r="A16" s="911" t="s">
        <v>85</v>
      </c>
      <c r="B16" s="911">
        <v>0</v>
      </c>
      <c r="C16" s="911">
        <v>0</v>
      </c>
      <c r="D16" s="433">
        <v>0</v>
      </c>
      <c r="E16" s="525">
        <v>3</v>
      </c>
      <c r="F16" s="774">
        <v>6</v>
      </c>
      <c r="G16" s="774">
        <v>37</v>
      </c>
      <c r="H16" s="1171">
        <v>16</v>
      </c>
      <c r="I16" s="774">
        <v>19</v>
      </c>
      <c r="J16" s="774">
        <v>19</v>
      </c>
      <c r="K16" s="774">
        <v>24</v>
      </c>
      <c r="L16" s="774">
        <v>25</v>
      </c>
      <c r="M16" s="774">
        <v>25</v>
      </c>
      <c r="N16" s="774">
        <v>17</v>
      </c>
      <c r="O16" s="774">
        <v>17</v>
      </c>
      <c r="P16" s="774">
        <v>17</v>
      </c>
      <c r="Q16" s="774">
        <v>19</v>
      </c>
      <c r="R16" s="774">
        <v>19</v>
      </c>
      <c r="S16" s="774">
        <v>19</v>
      </c>
      <c r="T16" s="774">
        <v>19</v>
      </c>
      <c r="U16" s="774">
        <v>19</v>
      </c>
      <c r="V16" s="774">
        <v>19</v>
      </c>
      <c r="W16" s="774">
        <v>19</v>
      </c>
      <c r="X16" s="774">
        <v>19</v>
      </c>
      <c r="Y16" s="774">
        <v>7</v>
      </c>
      <c r="Z16" s="774">
        <v>3</v>
      </c>
      <c r="AA16" s="774">
        <v>6</v>
      </c>
      <c r="AB16" s="774">
        <v>34</v>
      </c>
      <c r="AC16" s="774">
        <v>8</v>
      </c>
      <c r="AD16" s="774">
        <v>8</v>
      </c>
      <c r="AE16" s="77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2DE54-A238-9BC1-8AA1-81F47EC0859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82" width="4.140625" hidden="1" customWidth="1"/>
    <col min="4" max="4" style="1382" width="4.140625" hidden="1" customWidth="1"/>
    <col min="5" max="5" style="1651" width="3.00390625" customWidth="1"/>
    <col min="6" max="6" style="1651" width="14.00390625" customWidth="1"/>
    <col min="7" max="7" style="1651" width="3.00390625" customWidth="1"/>
    <col min="8" max="8" style="1651" width="7.00390625" customWidth="1"/>
    <col min="9" max="10" style="1651" width="16.00390625" customWidth="1"/>
    <col min="11" max="11" style="1651" width="25.00390625" customWidth="1"/>
    <col min="12" max="12" style="1651" width="7.00390625" customWidth="1"/>
    <col min="13" max="13" style="1651" width="15.00390625" customWidth="1"/>
    <col min="14" max="14" style="1651" width="3.00390625" customWidth="1"/>
    <col min="15" max="15" style="1651" width="4.00390625" customWidth="1"/>
    <col min="16" max="16" style="1651" width="8.00390625" customWidth="1"/>
    <col min="17" max="17" style="1651" width="21.00390625" customWidth="1"/>
    <col min="18" max="18" style="1651" width="14.00390625" customWidth="1"/>
    <col min="19" max="20" style="1651" width="17.00390625" customWidth="1"/>
    <col min="21" max="21" style="1651" width="9.00390625" customWidth="1"/>
    <col min="22" max="22" style="1651" width="12.00390625" customWidth="1"/>
    <col min="23" max="23" style="1651" width="9.00390625" customWidth="1"/>
    <col min="24" max="24" style="1651" width="21.00390625" customWidth="1"/>
    <col min="25" max="25" style="1651" width="12.00390625" customWidth="1"/>
    <col min="26" max="26" style="1651" width="3.00390625" customWidth="1"/>
    <col min="27" max="27" style="1651" width="6.00390625" customWidth="1"/>
    <col min="28" max="28" style="1651" width="38.00390625" customWidth="1"/>
    <col min="29" max="29" style="1651" width="15.00390625" customWidth="1"/>
    <col min="30" max="30" style="1651" width="37.57421875" hidden="1" customWidth="1"/>
    <col min="31" max="31" style="1651" width="15.7109375" hidden="1" customWidth="1"/>
    <col min="32" max="34" style="1651" width="16.00390625" customWidth="1"/>
    <col min="35" max="37" style="1651" width="16.7109375" hidden="1" customWidth="1"/>
    <col min="38" max="58" style="1651" width="8.00390625" customWidth="1"/>
    <col min="59" max="59" style="1651" width="9.140625" hidden="1"/>
  </cols>
  <sheetData>
    <row s="1382" customFormat="1" customHeight="1" ht="10.5" hidden="1">
      <c r="A1" s="911"/>
      <c r="B1" s="911"/>
      <c r="C1" s="911"/>
      <c r="E1" s="553"/>
      <c r="H1" s="1176"/>
      <c r="L1" s="1144"/>
      <c r="M1" s="1144"/>
      <c r="AD1" s="1144"/>
      <c r="AH1" s="1163"/>
      <c r="AI1" s="1156"/>
      <c r="BG1" s="433" t="s">
        <v>14</v>
      </c>
    </row>
    <row customHeight="1" ht="10.5" hidden="1">
      <c r="BG2" s="774">
        <v>0</v>
      </c>
    </row>
    <row s="1648" customFormat="1" customHeight="1" ht="10.5" hidden="1">
      <c r="A3" s="911"/>
      <c r="B3" s="911"/>
      <c r="C3" s="911"/>
      <c r="D3" s="433"/>
      <c r="E3" s="378"/>
      <c r="H3" s="1172"/>
      <c r="L3" s="1142"/>
      <c r="M3" s="1142"/>
      <c r="AD3" s="1142"/>
      <c r="AH3" s="1161"/>
      <c r="AI3" s="1154"/>
      <c r="BG3" s="775">
        <v>0</v>
      </c>
    </row>
    <row customHeight="1" ht="3">
      <c r="BG4" s="774">
        <v>3</v>
      </c>
    </row>
    <row customHeight="1" ht="27.299999999999997">
      <c r="F5" s="2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4"/>
      <c r="H5" s="2264"/>
      <c r="I5" s="2264"/>
      <c r="J5" s="2264"/>
      <c r="K5" s="2264"/>
      <c r="L5" s="1151"/>
      <c r="M5" s="1151"/>
      <c r="AG5" s="922"/>
      <c r="AH5" s="1164"/>
      <c r="BG5" s="774">
        <v>26</v>
      </c>
    </row>
    <row customHeight="1" ht="10.5">
      <c r="F6" s="2192" t="str">
        <f>IF(org=0,"Не определено",org)</f>
        <v>КГУП "Примтеплоэнерго"</v>
      </c>
      <c r="G6" s="2192"/>
      <c r="H6" s="2192"/>
      <c r="I6" s="2192"/>
      <c r="J6" s="2192"/>
      <c r="K6" s="2192"/>
      <c r="L6" s="1152"/>
      <c r="M6" s="1152"/>
      <c r="BG6" s="774">
        <v>10</v>
      </c>
    </row>
    <row customHeight="1" ht="11.549999999999999">
      <c r="E7" s="924"/>
      <c r="F7" s="935"/>
      <c r="G7" s="935"/>
      <c r="H7" s="1200"/>
      <c r="I7" s="935"/>
      <c r="J7" s="935"/>
      <c r="K7" s="937"/>
      <c r="L7" s="1149"/>
      <c r="M7" s="1149"/>
      <c r="N7" s="935"/>
      <c r="O7" s="935"/>
      <c r="P7" s="935"/>
      <c r="Q7" s="937"/>
      <c r="R7" s="935"/>
      <c r="S7" s="935"/>
      <c r="T7" s="935"/>
      <c r="U7" s="935"/>
      <c r="V7" s="935"/>
      <c r="W7" s="935"/>
      <c r="X7" s="935"/>
      <c r="Y7" s="935"/>
      <c r="Z7" s="935"/>
      <c r="AA7" s="935"/>
      <c r="AB7" s="935"/>
      <c r="AC7" s="936"/>
      <c r="AD7" s="1148"/>
      <c r="AE7" s="936"/>
      <c r="AF7" s="935"/>
      <c r="AG7" s="935"/>
      <c r="AH7" s="1166"/>
      <c r="AI7" s="1159"/>
      <c r="AJ7" s="935"/>
      <c r="AK7" s="935"/>
      <c r="AL7" s="926"/>
      <c r="AM7" s="926"/>
      <c r="AN7" s="926"/>
      <c r="AO7" s="923"/>
      <c r="AP7" s="923"/>
      <c r="AQ7" s="923"/>
      <c r="AR7" s="923"/>
      <c r="AS7" s="923"/>
      <c r="AT7" s="923"/>
      <c r="AU7" s="923"/>
      <c r="AV7" s="923"/>
      <c r="AW7" s="923"/>
      <c r="AX7" s="923"/>
      <c r="AY7" s="923"/>
      <c r="AZ7" s="923"/>
      <c r="BA7" s="923"/>
      <c r="BB7" s="923"/>
      <c r="BC7" s="923"/>
      <c r="BD7" s="923"/>
      <c r="BE7" s="923"/>
      <c r="BF7" s="923"/>
      <c r="BG7" s="774">
        <v>11</v>
      </c>
    </row>
    <row customHeight="1" ht="10.5">
      <c r="E8" s="924"/>
      <c r="F8" s="2431" t="s">
        <v>453</v>
      </c>
      <c r="G8" s="2432"/>
      <c r="H8" s="2432"/>
      <c r="I8" s="2432"/>
      <c r="J8" s="2432"/>
      <c r="K8" s="2432"/>
      <c r="L8" s="2432"/>
      <c r="M8" s="2432"/>
      <c r="N8" s="2432"/>
      <c r="O8" s="2432"/>
      <c r="P8" s="2432"/>
      <c r="Q8" s="2432"/>
      <c r="R8" s="2432"/>
      <c r="S8" s="2432"/>
      <c r="T8" s="2432"/>
      <c r="U8" s="2432"/>
      <c r="V8" s="2432"/>
      <c r="W8" s="2432"/>
      <c r="X8" s="2432"/>
      <c r="Y8" s="2432"/>
      <c r="Z8" s="2432"/>
      <c r="AA8" s="2432"/>
      <c r="AB8" s="2432"/>
      <c r="AC8" s="2432"/>
      <c r="AD8" s="2432"/>
      <c r="AE8" s="2432"/>
      <c r="AF8" s="2432"/>
      <c r="AG8" s="2432"/>
      <c r="AH8" s="2432"/>
      <c r="AI8" s="2432"/>
      <c r="AJ8" s="2432"/>
      <c r="AK8" s="2433"/>
      <c r="AL8" s="925"/>
      <c r="AM8" s="923"/>
      <c r="AN8" s="923"/>
      <c r="AO8" s="923"/>
      <c r="AP8" s="923"/>
      <c r="AQ8" s="923"/>
      <c r="AR8" s="923"/>
      <c r="AS8" s="923"/>
      <c r="AT8" s="923"/>
      <c r="AU8" s="923"/>
      <c r="AV8" s="923"/>
      <c r="AW8" s="923"/>
      <c r="AX8" s="923"/>
      <c r="AY8" s="923"/>
      <c r="AZ8" s="923"/>
      <c r="BA8" s="923"/>
      <c r="BB8" s="923"/>
      <c r="BC8" s="923"/>
      <c r="BD8" s="923"/>
      <c r="BE8" s="923"/>
      <c r="BF8" s="923"/>
      <c r="BG8" s="774">
        <v>10</v>
      </c>
    </row>
    <row customHeight="1" ht="24">
      <c r="A9" s="921"/>
      <c r="B9" s="921"/>
      <c r="C9" s="921"/>
      <c r="E9" s="924"/>
      <c r="F9" s="2424" t="s">
        <v>1138</v>
      </c>
      <c r="G9" s="2425" t="s">
        <v>1139</v>
      </c>
      <c r="H9" s="2426"/>
      <c r="I9" s="2143" t="s">
        <v>1140</v>
      </c>
      <c r="J9" s="2143"/>
      <c r="K9" s="2143" t="s">
        <v>1141</v>
      </c>
      <c r="L9" s="2143"/>
      <c r="M9" s="2143"/>
      <c r="N9" s="2143"/>
      <c r="O9" s="2143"/>
      <c r="P9" s="2143"/>
      <c r="Q9" s="2143"/>
      <c r="R9" s="2143"/>
      <c r="S9" s="2143"/>
      <c r="T9" s="2143"/>
      <c r="U9" s="2143"/>
      <c r="V9" s="2143"/>
      <c r="W9" s="2143"/>
      <c r="X9" s="2143"/>
      <c r="Y9" s="2143"/>
      <c r="Z9" s="2208" t="s">
        <v>1142</v>
      </c>
      <c r="AA9" s="2209"/>
      <c r="AB9" s="2143" t="s">
        <v>1143</v>
      </c>
      <c r="AC9" s="2143"/>
      <c r="AD9" s="2143"/>
      <c r="AE9" s="2143"/>
      <c r="AF9" s="2191" t="s">
        <v>1144</v>
      </c>
      <c r="AG9" s="2143" t="s">
        <v>1145</v>
      </c>
      <c r="AH9" s="2143"/>
      <c r="AI9" s="2191" t="s">
        <v>1146</v>
      </c>
      <c r="AJ9" s="2143" t="s">
        <v>1147</v>
      </c>
      <c r="AK9" s="2143"/>
      <c r="AL9" s="1158"/>
      <c r="AM9" s="923"/>
      <c r="AN9" s="923"/>
      <c r="AO9" s="923"/>
      <c r="AP9" s="923"/>
      <c r="AQ9" s="923"/>
      <c r="AR9" s="923"/>
      <c r="AS9" s="923"/>
      <c r="AT9" s="923"/>
      <c r="AU9" s="923"/>
      <c r="AV9" s="923"/>
      <c r="AW9" s="923"/>
      <c r="AX9" s="923"/>
      <c r="AY9" s="923"/>
      <c r="AZ9" s="923"/>
      <c r="BA9" s="923"/>
      <c r="BB9" s="923"/>
      <c r="BC9" s="923"/>
      <c r="BD9" s="923"/>
      <c r="BE9" s="923"/>
      <c r="BF9" s="923"/>
      <c r="BG9" s="774">
        <v>23</v>
      </c>
    </row>
    <row customHeight="1" ht="25.2">
      <c r="A10" s="921"/>
      <c r="B10" s="921"/>
      <c r="C10" s="921"/>
      <c r="E10" s="928"/>
      <c r="F10" s="2424"/>
      <c r="G10" s="2427"/>
      <c r="H10" s="2428"/>
      <c r="I10" s="2143"/>
      <c r="J10" s="2143"/>
      <c r="K10" s="2143" t="s">
        <v>1148</v>
      </c>
      <c r="L10" s="2117" t="s">
        <v>1149</v>
      </c>
      <c r="M10" s="2119"/>
      <c r="N10" s="2143" t="s">
        <v>1150</v>
      </c>
      <c r="O10" s="2143"/>
      <c r="P10" s="2143"/>
      <c r="Q10" s="2143"/>
      <c r="R10" s="2143"/>
      <c r="S10" s="2143"/>
      <c r="T10" s="2143"/>
      <c r="U10" s="2143"/>
      <c r="V10" s="2143"/>
      <c r="W10" s="2143"/>
      <c r="X10" s="2143"/>
      <c r="Y10" s="2143"/>
      <c r="Z10" s="2210"/>
      <c r="AA10" s="2211"/>
      <c r="AB10" s="2143"/>
      <c r="AC10" s="2143"/>
      <c r="AD10" s="2143"/>
      <c r="AE10" s="2143"/>
      <c r="AF10" s="2215"/>
      <c r="AG10" s="2143"/>
      <c r="AH10" s="2143"/>
      <c r="AI10" s="2215"/>
      <c r="AJ10" s="2143"/>
      <c r="AK10" s="2143"/>
      <c r="AL10" s="1158"/>
      <c r="AM10" s="929"/>
      <c r="AN10" s="929"/>
      <c r="AO10" s="929"/>
      <c r="AP10" s="929"/>
      <c r="AQ10" s="929"/>
      <c r="AR10" s="929"/>
      <c r="AS10" s="929"/>
      <c r="AT10" s="929"/>
      <c r="AU10" s="929"/>
      <c r="AV10" s="929"/>
      <c r="AW10" s="929"/>
      <c r="AX10" s="929"/>
      <c r="AY10" s="929"/>
      <c r="AZ10" s="929"/>
      <c r="BA10" s="929"/>
      <c r="BB10" s="929"/>
      <c r="BC10" s="929"/>
      <c r="BD10" s="929"/>
      <c r="BE10" s="929"/>
      <c r="BF10" s="929"/>
      <c r="BG10" s="774">
        <v>24</v>
      </c>
    </row>
    <row s="1651" customFormat="1" customHeight="1" ht="25.2">
      <c r="A11" s="1145"/>
      <c r="B11" s="1145"/>
      <c r="C11" s="1145"/>
      <c r="D11" s="1144"/>
      <c r="E11" s="1146"/>
      <c r="F11" s="2424"/>
      <c r="G11" s="2427"/>
      <c r="H11" s="2428"/>
      <c r="I11" s="2143"/>
      <c r="J11" s="2143"/>
      <c r="K11" s="2143"/>
      <c r="L11" s="2191" t="s">
        <v>1151</v>
      </c>
      <c r="M11" s="2191" t="s">
        <v>1152</v>
      </c>
      <c r="N11" s="2143" t="s">
        <v>1153</v>
      </c>
      <c r="O11" s="2143"/>
      <c r="P11" s="2434" t="s">
        <v>1134</v>
      </c>
      <c r="Q11" s="2434" t="s">
        <v>1154</v>
      </c>
      <c r="R11" s="2434" t="s">
        <v>1155</v>
      </c>
      <c r="S11" s="2434" t="s">
        <v>1156</v>
      </c>
      <c r="T11" s="2434"/>
      <c r="U11" s="2434"/>
      <c r="V11" s="2434"/>
      <c r="W11" s="2434"/>
      <c r="X11" s="2434"/>
      <c r="Y11" s="2434"/>
      <c r="Z11" s="2210"/>
      <c r="AA11" s="2211"/>
      <c r="AB11" s="2143" t="s">
        <v>1157</v>
      </c>
      <c r="AC11" s="2143"/>
      <c r="AD11" s="2117" t="s">
        <v>1158</v>
      </c>
      <c r="AE11" s="2119"/>
      <c r="AF11" s="2215"/>
      <c r="AG11" s="2143"/>
      <c r="AH11" s="2143"/>
      <c r="AI11" s="2215"/>
      <c r="AJ11" s="2143"/>
      <c r="AK11" s="2143"/>
      <c r="AL11" s="1158"/>
      <c r="AM11" s="1143"/>
      <c r="AN11" s="1143"/>
      <c r="AO11" s="1143"/>
      <c r="AP11" s="1143"/>
      <c r="AQ11" s="1143"/>
      <c r="AR11" s="1143"/>
      <c r="AS11" s="1143"/>
      <c r="AT11" s="1143"/>
      <c r="AU11" s="1143"/>
      <c r="AV11" s="1143"/>
      <c r="AW11" s="1143"/>
      <c r="AX11" s="1143"/>
      <c r="AY11" s="1143"/>
      <c r="AZ11" s="1143"/>
      <c r="BA11" s="1143"/>
      <c r="BB11" s="1143"/>
      <c r="BC11" s="1143"/>
      <c r="BD11" s="1143"/>
      <c r="BE11" s="1143"/>
      <c r="BF11" s="1143"/>
      <c r="BG11" s="1141">
        <v>24</v>
      </c>
    </row>
    <row customHeight="1" ht="35.699999999999996">
      <c r="A12" s="921"/>
      <c r="B12" s="921"/>
      <c r="C12" s="921"/>
      <c r="E12" s="924"/>
      <c r="F12" s="2424"/>
      <c r="G12" s="2429"/>
      <c r="H12" s="2430"/>
      <c r="I12" s="1169" t="s">
        <v>92</v>
      </c>
      <c r="J12" s="1169" t="s">
        <v>1159</v>
      </c>
      <c r="K12" s="2143"/>
      <c r="L12" s="2248"/>
      <c r="M12" s="2248"/>
      <c r="N12" s="2143"/>
      <c r="O12" s="2143"/>
      <c r="P12" s="2434"/>
      <c r="Q12" s="2434"/>
      <c r="R12" s="2434"/>
      <c r="S12" s="1150" t="s">
        <v>89</v>
      </c>
      <c r="T12" s="1150" t="s">
        <v>90</v>
      </c>
      <c r="U12" s="1150" t="s">
        <v>88</v>
      </c>
      <c r="V12" s="1150" t="s">
        <v>1160</v>
      </c>
      <c r="W12" s="1150" t="s">
        <v>88</v>
      </c>
      <c r="X12" s="1150" t="s">
        <v>1161</v>
      </c>
      <c r="Y12" s="1150" t="s">
        <v>1162</v>
      </c>
      <c r="Z12" s="2216"/>
      <c r="AA12" s="2217"/>
      <c r="AB12" s="1157" t="s">
        <v>1163</v>
      </c>
      <c r="AC12" s="1157" t="s">
        <v>1164</v>
      </c>
      <c r="AD12" s="1157" t="s">
        <v>1163</v>
      </c>
      <c r="AE12" s="1157" t="s">
        <v>1164</v>
      </c>
      <c r="AF12" s="2248"/>
      <c r="AG12" s="1170" t="s">
        <v>1165</v>
      </c>
      <c r="AH12" s="1170" t="s">
        <v>1166</v>
      </c>
      <c r="AI12" s="2248"/>
      <c r="AJ12" s="1170" t="s">
        <v>1165</v>
      </c>
      <c r="AK12" s="1170" t="s">
        <v>1166</v>
      </c>
      <c r="AL12" s="1158"/>
      <c r="AM12" s="923"/>
      <c r="AN12" s="923"/>
      <c r="AO12" s="923"/>
      <c r="AP12" s="923"/>
      <c r="AQ12" s="923"/>
      <c r="AR12" s="923"/>
      <c r="AS12" s="923"/>
      <c r="AT12" s="923"/>
      <c r="AU12" s="923"/>
      <c r="AV12" s="923"/>
      <c r="AW12" s="923"/>
      <c r="AX12" s="923"/>
      <c r="AY12" s="923"/>
      <c r="AZ12" s="923"/>
      <c r="BA12" s="923"/>
      <c r="BB12" s="923"/>
      <c r="BC12" s="923"/>
      <c r="BD12" s="923"/>
      <c r="BE12" s="923"/>
      <c r="BF12" s="923"/>
      <c r="BG12" s="774">
        <v>34</v>
      </c>
    </row>
    <row customHeight="1" ht="1.05">
      <c r="E13" s="924"/>
      <c r="F13" s="1140">
        <v>0</v>
      </c>
      <c r="G13" s="1140"/>
      <c r="H13" s="1140"/>
      <c r="I13" s="1140"/>
      <c r="J13" s="1140"/>
      <c r="K13" s="1147"/>
      <c r="L13" s="1147"/>
      <c r="M13" s="1147"/>
      <c r="N13" s="1147"/>
      <c r="O13" s="1147"/>
      <c r="P13" s="1147"/>
      <c r="Q13" s="1147"/>
      <c r="R13" s="1147"/>
      <c r="S13" s="1147"/>
      <c r="T13" s="1147"/>
      <c r="U13" s="1147"/>
      <c r="V13" s="1147"/>
      <c r="W13" s="1147"/>
      <c r="X13" s="1147"/>
      <c r="Y13" s="1147"/>
      <c r="Z13" s="1147"/>
      <c r="AA13" s="1147"/>
      <c r="AB13" s="1147"/>
      <c r="AC13" s="1147"/>
      <c r="AD13" s="1147"/>
      <c r="AE13" s="1147"/>
      <c r="AF13" s="1147"/>
      <c r="AG13" s="1147"/>
      <c r="AH13" s="1165"/>
      <c r="AI13" s="1158"/>
      <c r="AJ13" s="1147"/>
      <c r="AK13" s="1147"/>
      <c r="AL13" s="925"/>
      <c r="AM13" s="923"/>
      <c r="AN13" s="923"/>
      <c r="AO13" s="923"/>
      <c r="AP13" s="923"/>
      <c r="AQ13" s="923"/>
      <c r="AR13" s="923"/>
      <c r="AS13" s="923"/>
      <c r="AT13" s="923"/>
      <c r="AU13" s="923"/>
      <c r="AV13" s="923"/>
      <c r="AW13" s="923"/>
      <c r="AX13" s="923"/>
      <c r="AY13" s="923"/>
      <c r="AZ13" s="923"/>
      <c r="BA13" s="923"/>
      <c r="BB13" s="923"/>
      <c r="BC13" s="923"/>
      <c r="BD13" s="923"/>
      <c r="BE13" s="923"/>
      <c r="BF13" s="923"/>
      <c r="BG13" s="774">
        <v>1</v>
      </c>
    </row>
    <row customHeight="1" ht="10.5">
      <c r="E14" s="923"/>
      <c r="F14" s="934"/>
      <c r="G14" s="934"/>
      <c r="H14" s="1188"/>
      <c r="I14" s="934"/>
      <c r="J14" s="934"/>
      <c r="K14" s="934"/>
      <c r="L14" s="1147"/>
      <c r="M14" s="1147"/>
      <c r="N14" s="934"/>
      <c r="O14" s="934"/>
      <c r="P14" s="934"/>
      <c r="Q14" s="934"/>
      <c r="R14" s="934"/>
      <c r="S14" s="934"/>
      <c r="T14" s="934"/>
      <c r="U14" s="934"/>
      <c r="V14" s="934"/>
      <c r="W14" s="934"/>
      <c r="X14" s="934"/>
      <c r="Y14" s="934"/>
      <c r="Z14" s="934"/>
      <c r="AA14" s="934"/>
      <c r="AB14" s="934"/>
      <c r="AC14" s="934"/>
      <c r="AD14" s="1147"/>
      <c r="AE14" s="934"/>
      <c r="AF14" s="934"/>
      <c r="AG14" s="934"/>
      <c r="AH14" s="1165"/>
      <c r="AI14" s="1158"/>
      <c r="AJ14" s="934"/>
      <c r="AK14" s="934"/>
      <c r="AL14" s="923"/>
      <c r="AM14" s="923"/>
      <c r="AN14" s="923"/>
      <c r="AO14" s="923"/>
      <c r="AP14" s="923"/>
      <c r="AQ14" s="923"/>
      <c r="AR14" s="923"/>
      <c r="AS14" s="923"/>
      <c r="AT14" s="923"/>
      <c r="AU14" s="923"/>
      <c r="AV14" s="923"/>
      <c r="AW14" s="923"/>
      <c r="AX14" s="923"/>
      <c r="AY14" s="923"/>
      <c r="AZ14" s="923"/>
      <c r="BA14" s="923"/>
      <c r="BB14" s="923"/>
      <c r="BC14" s="923"/>
      <c r="BD14" s="923"/>
      <c r="BE14" s="923"/>
      <c r="BF14" s="923"/>
      <c r="BG14" s="774">
        <v>10</v>
      </c>
    </row>
    <row customHeight="1" ht="13.5">
      <c r="E15" s="923"/>
      <c r="F15" s="930" t="s">
        <v>1167</v>
      </c>
      <c r="G15" s="930"/>
      <c r="H15" s="1187"/>
      <c r="I15" s="930"/>
      <c r="J15" s="930"/>
      <c r="K15" s="927"/>
      <c r="L15" s="1143"/>
      <c r="M15" s="1143"/>
      <c r="N15" s="929"/>
      <c r="O15" s="929"/>
      <c r="P15" s="929"/>
      <c r="Q15" s="929"/>
      <c r="R15" s="929"/>
      <c r="S15" s="929"/>
      <c r="T15" s="929"/>
      <c r="U15" s="929"/>
      <c r="V15" s="929"/>
      <c r="W15" s="929"/>
      <c r="X15" s="929"/>
      <c r="Y15" s="929"/>
      <c r="Z15" s="927"/>
      <c r="AA15" s="927"/>
      <c r="AB15" s="927"/>
      <c r="AC15" s="927"/>
      <c r="AD15" s="1143"/>
      <c r="AE15" s="927"/>
      <c r="AF15" s="927"/>
      <c r="AG15" s="927"/>
      <c r="AH15" s="1162"/>
      <c r="AI15" s="1155"/>
      <c r="AJ15" s="927"/>
      <c r="AK15" s="927"/>
      <c r="AL15" s="923"/>
      <c r="AM15" s="923"/>
      <c r="AN15" s="923"/>
      <c r="AO15" s="923"/>
      <c r="AP15" s="923"/>
      <c r="AQ15" s="923"/>
      <c r="AR15" s="923"/>
      <c r="AS15" s="923"/>
      <c r="AT15" s="923"/>
      <c r="AU15" s="923"/>
      <c r="AV15" s="923"/>
      <c r="AW15" s="923"/>
      <c r="AX15" s="923"/>
      <c r="AY15" s="923"/>
      <c r="AZ15" s="923"/>
      <c r="BA15" s="923"/>
      <c r="BB15" s="923"/>
      <c r="BC15" s="923"/>
      <c r="BD15" s="923"/>
      <c r="BE15" s="923"/>
      <c r="BF15" s="923"/>
      <c r="BG15" s="774">
        <v>13</v>
      </c>
    </row>
    <row customHeight="1" ht="10.5">
      <c r="BG16" s="774">
        <v>10</v>
      </c>
    </row>
    <row customHeight="1" ht="10.5">
      <c r="E17" s="923"/>
      <c r="F17" s="2423"/>
      <c r="G17" s="2423"/>
      <c r="H17" s="2423"/>
      <c r="I17" s="2423"/>
      <c r="J17" s="2423"/>
      <c r="K17" s="927"/>
      <c r="L17" s="1143"/>
      <c r="M17" s="1143"/>
      <c r="N17" s="929"/>
      <c r="O17" s="929"/>
      <c r="P17" s="929"/>
      <c r="Q17" s="929"/>
      <c r="R17" s="929"/>
      <c r="S17" s="929"/>
      <c r="T17" s="929"/>
      <c r="U17" s="929"/>
      <c r="V17" s="929"/>
      <c r="W17" s="929"/>
      <c r="X17" s="929"/>
      <c r="Y17" s="929"/>
      <c r="Z17" s="927"/>
      <c r="AA17" s="927"/>
      <c r="AB17" s="927"/>
      <c r="AC17" s="927"/>
      <c r="AD17" s="1143"/>
      <c r="AE17" s="927"/>
      <c r="AF17" s="927"/>
      <c r="AG17" s="927"/>
      <c r="AH17" s="1162"/>
      <c r="AI17" s="1155"/>
      <c r="AJ17" s="927"/>
      <c r="AK17" s="927"/>
      <c r="AL17" s="923"/>
      <c r="AM17" s="923"/>
      <c r="AN17" s="923"/>
      <c r="AO17" s="923"/>
      <c r="AP17" s="923"/>
      <c r="AQ17" s="923"/>
      <c r="AR17" s="923"/>
      <c r="AS17" s="923"/>
      <c r="AT17" s="923"/>
      <c r="AU17" s="923"/>
      <c r="AV17" s="923"/>
      <c r="AW17" s="923"/>
      <c r="AX17" s="923"/>
      <c r="AY17" s="923"/>
      <c r="AZ17" s="923"/>
      <c r="BA17" s="923"/>
      <c r="BB17" s="923"/>
      <c r="BC17" s="923"/>
      <c r="BD17" s="923"/>
      <c r="BE17" s="923"/>
      <c r="BF17" s="923"/>
      <c r="BG17" s="774">
        <v>10</v>
      </c>
    </row>
    <row customHeight="1" ht="10.5">
      <c r="E18" s="923"/>
      <c r="F18" s="2423"/>
      <c r="G18" s="2423"/>
      <c r="H18" s="2423"/>
      <c r="I18" s="2423"/>
      <c r="J18" s="2423"/>
      <c r="K18" s="927"/>
      <c r="L18" s="1143"/>
      <c r="M18" s="1143"/>
      <c r="N18" s="929"/>
      <c r="O18" s="929"/>
      <c r="P18" s="929"/>
      <c r="Q18" s="929"/>
      <c r="R18" s="929"/>
      <c r="S18" s="929"/>
      <c r="T18" s="929"/>
      <c r="U18" s="929"/>
      <c r="V18" s="929"/>
      <c r="W18" s="929"/>
      <c r="X18" s="929"/>
      <c r="Y18" s="929"/>
      <c r="Z18" s="927"/>
      <c r="AA18" s="927"/>
      <c r="AB18" s="927"/>
      <c r="AC18" s="927"/>
      <c r="AD18" s="1143"/>
      <c r="AE18" s="927"/>
      <c r="AF18" s="927"/>
      <c r="AG18" s="927"/>
      <c r="AH18" s="1162"/>
      <c r="AI18" s="1155"/>
      <c r="AJ18" s="927"/>
      <c r="AK18" s="927"/>
      <c r="AL18" s="923"/>
      <c r="AM18" s="923"/>
      <c r="AN18" s="923"/>
      <c r="AO18" s="923"/>
      <c r="AP18" s="923"/>
      <c r="AQ18" s="923"/>
      <c r="AR18" s="923"/>
      <c r="AS18" s="923"/>
      <c r="AT18" s="923"/>
      <c r="AU18" s="923"/>
      <c r="AV18" s="923"/>
      <c r="AW18" s="923"/>
      <c r="AX18" s="923"/>
      <c r="AY18" s="923"/>
      <c r="AZ18" s="923"/>
      <c r="BA18" s="923"/>
      <c r="BB18" s="923"/>
      <c r="BC18" s="923"/>
      <c r="BD18" s="923"/>
      <c r="BE18" s="923"/>
      <c r="BF18" s="923"/>
      <c r="BG18" s="774">
        <v>10</v>
      </c>
    </row>
    <row customHeight="1" ht="10.5">
      <c r="E19" s="923"/>
      <c r="F19" s="2423"/>
      <c r="G19" s="2423"/>
      <c r="H19" s="2423"/>
      <c r="I19" s="2423"/>
      <c r="J19" s="2423"/>
      <c r="K19" s="927"/>
      <c r="L19" s="1143"/>
      <c r="M19" s="1143"/>
      <c r="N19" s="929"/>
      <c r="O19" s="929"/>
      <c r="P19" s="929"/>
      <c r="Q19" s="929"/>
      <c r="R19" s="929"/>
      <c r="S19" s="929"/>
      <c r="T19" s="929"/>
      <c r="U19" s="929"/>
      <c r="V19" s="929"/>
      <c r="W19" s="929"/>
      <c r="X19" s="929"/>
      <c r="Y19" s="929"/>
      <c r="Z19" s="927"/>
      <c r="AA19" s="927"/>
      <c r="AB19" s="927"/>
      <c r="AC19" s="927"/>
      <c r="AD19" s="1143"/>
      <c r="AE19" s="927"/>
      <c r="AF19" s="927"/>
      <c r="AG19" s="927"/>
      <c r="AH19" s="1162"/>
      <c r="AI19" s="1155"/>
      <c r="AJ19" s="927"/>
      <c r="AK19" s="927"/>
      <c r="AL19" s="923"/>
      <c r="AM19" s="923"/>
      <c r="AN19" s="923"/>
      <c r="AO19" s="923"/>
      <c r="AP19" s="923"/>
      <c r="AQ19" s="923"/>
      <c r="AR19" s="923"/>
      <c r="AS19" s="923"/>
      <c r="AT19" s="923"/>
      <c r="AU19" s="923"/>
      <c r="AV19" s="923"/>
      <c r="AW19" s="923"/>
      <c r="AX19" s="923"/>
      <c r="AY19" s="923"/>
      <c r="AZ19" s="923"/>
      <c r="BA19" s="923"/>
      <c r="BB19" s="923"/>
      <c r="BC19" s="923"/>
      <c r="BD19" s="923"/>
      <c r="BE19" s="923"/>
      <c r="BF19" s="923"/>
      <c r="BG19" s="774">
        <v>10</v>
      </c>
    </row>
    <row customHeight="1" ht="10.5" hidden="1">
      <c r="A20" s="911" t="s">
        <v>85</v>
      </c>
      <c r="B20" s="911">
        <v>0</v>
      </c>
      <c r="C20" s="911">
        <v>0</v>
      </c>
      <c r="D20" s="433">
        <v>0</v>
      </c>
      <c r="E20" s="525">
        <v>3</v>
      </c>
      <c r="F20" s="774">
        <v>14</v>
      </c>
      <c r="G20" s="774">
        <v>3</v>
      </c>
      <c r="H20" s="1171">
        <v>7</v>
      </c>
      <c r="I20" s="774">
        <v>16</v>
      </c>
      <c r="J20" s="774">
        <v>16</v>
      </c>
      <c r="K20" s="774">
        <v>25</v>
      </c>
      <c r="L20" s="1141">
        <v>7</v>
      </c>
      <c r="M20" s="1141">
        <v>15</v>
      </c>
      <c r="N20" s="774">
        <v>3</v>
      </c>
      <c r="O20" s="774">
        <v>4</v>
      </c>
      <c r="P20" s="774">
        <v>8</v>
      </c>
      <c r="Q20" s="774">
        <v>21</v>
      </c>
      <c r="R20" s="774">
        <v>14</v>
      </c>
      <c r="S20" s="774">
        <v>17</v>
      </c>
      <c r="T20" s="774">
        <v>17</v>
      </c>
      <c r="U20" s="774">
        <v>9</v>
      </c>
      <c r="V20" s="774">
        <v>12</v>
      </c>
      <c r="W20" s="774">
        <v>9</v>
      </c>
      <c r="X20" s="774">
        <v>21</v>
      </c>
      <c r="Y20" s="774">
        <v>12</v>
      </c>
      <c r="Z20" s="774">
        <v>3</v>
      </c>
      <c r="AA20" s="774">
        <v>6</v>
      </c>
      <c r="AB20" s="774">
        <v>38</v>
      </c>
      <c r="AC20" s="774">
        <v>15</v>
      </c>
      <c r="AD20" s="1141">
        <v>0</v>
      </c>
      <c r="AE20" s="774">
        <v>0</v>
      </c>
      <c r="AF20" s="774">
        <v>16</v>
      </c>
      <c r="AG20" s="774">
        <v>16</v>
      </c>
      <c r="AH20" s="1160">
        <v>16</v>
      </c>
      <c r="AI20" s="1153">
        <v>0</v>
      </c>
      <c r="AJ20" s="774">
        <v>0</v>
      </c>
      <c r="AK20" s="774">
        <v>0</v>
      </c>
      <c r="AL20" s="774">
        <v>8</v>
      </c>
      <c r="AM20" s="774">
        <v>8</v>
      </c>
      <c r="AN20" s="774">
        <v>8</v>
      </c>
      <c r="AO20" s="774">
        <v>8</v>
      </c>
      <c r="AP20" s="774">
        <v>8</v>
      </c>
      <c r="AQ20" s="774">
        <v>8</v>
      </c>
      <c r="AR20" s="774">
        <v>8</v>
      </c>
      <c r="AS20" s="774">
        <v>8</v>
      </c>
      <c r="AT20" s="774">
        <v>8</v>
      </c>
      <c r="AU20" s="774">
        <v>8</v>
      </c>
      <c r="AV20" s="774">
        <v>8</v>
      </c>
      <c r="AW20" s="774">
        <v>8</v>
      </c>
      <c r="AX20" s="774">
        <v>8</v>
      </c>
      <c r="AY20" s="774">
        <v>8</v>
      </c>
      <c r="AZ20" s="774">
        <v>8</v>
      </c>
      <c r="BA20" s="774">
        <v>8</v>
      </c>
      <c r="BB20" s="774">
        <v>8</v>
      </c>
      <c r="BC20" s="774">
        <v>8</v>
      </c>
      <c r="BD20" s="774">
        <v>8</v>
      </c>
      <c r="BE20" s="774">
        <v>8</v>
      </c>
      <c r="BF20" s="774">
        <v>8</v>
      </c>
      <c r="BG20" s="77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597FB-CC94-6D64-FD3A-5639FC71A97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82" width="4.140625" hidden="1" customWidth="1"/>
    <col min="4" max="4" style="1382" width="4.140625" hidden="1" customWidth="1"/>
    <col min="5" max="5" style="1651" width="3.00390625" customWidth="1"/>
    <col min="6" max="6" style="1651" width="6.00390625" customWidth="1"/>
    <col min="7" max="7" style="1651" width="60.00390625" customWidth="1"/>
    <col min="8" max="9" style="1651" width="21.7109375" hidden="1" customWidth="1"/>
    <col min="10" max="10" style="1651" width="0.140625" customWidth="1"/>
    <col min="11" max="11" style="1651" width="1.00390625" customWidth="1"/>
    <col min="12" max="22" style="1651" width="8.00390625" customWidth="1"/>
    <col min="23" max="23" style="1651" width="9.140625" hidden="1"/>
  </cols>
  <sheetData>
    <row s="1382" customFormat="1" customHeight="1" ht="10.5" hidden="1">
      <c r="A1" s="1182"/>
      <c r="B1" s="1182"/>
      <c r="C1" s="1182"/>
      <c r="E1" s="553"/>
      <c r="W1" s="1176" t="s">
        <v>14</v>
      </c>
    </row>
    <row customHeight="1" ht="10.5" hidden="1">
      <c r="W2" s="1171">
        <v>0</v>
      </c>
    </row>
    <row s="1648" customFormat="1" customHeight="1" ht="10.5" hidden="1">
      <c r="A3" s="1182"/>
      <c r="B3" s="1182"/>
      <c r="C3" s="1182"/>
      <c r="D3" s="1176"/>
      <c r="E3" s="378"/>
      <c r="W3" s="1172">
        <v>0</v>
      </c>
    </row>
    <row customHeight="1" ht="3">
      <c r="W4" s="1171">
        <v>3</v>
      </c>
    </row>
    <row customHeight="1" ht="27.299999999999997">
      <c r="F5" s="22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4"/>
      <c r="H5" s="2264"/>
      <c r="I5" s="2264"/>
      <c r="J5" s="2264"/>
      <c r="W5" s="1171">
        <v>26</v>
      </c>
    </row>
    <row customHeight="1" ht="10.5">
      <c r="F6" s="2192" t="str">
        <f>IF(org=0,"Не определено",org)</f>
        <v>КГУП "Примтеплоэнерго"</v>
      </c>
      <c r="G6" s="2192"/>
      <c r="H6" s="2192"/>
      <c r="I6" s="2192"/>
      <c r="J6" s="2192"/>
      <c r="W6" s="1171">
        <v>10</v>
      </c>
    </row>
    <row customHeight="1" ht="11.549999999999999">
      <c r="E7" s="1186"/>
      <c r="F7" s="1243"/>
      <c r="G7" s="1243"/>
      <c r="H7" s="1243"/>
      <c r="I7" s="1243"/>
      <c r="J7" s="1243"/>
      <c r="K7" s="1173"/>
      <c r="L7" s="1173"/>
      <c r="M7" s="1173"/>
      <c r="N7" s="1173"/>
      <c r="O7" s="1173"/>
      <c r="P7" s="1173"/>
      <c r="Q7" s="1173"/>
      <c r="R7" s="1173"/>
      <c r="S7" s="1173"/>
      <c r="T7" s="1173"/>
      <c r="U7" s="1173"/>
      <c r="V7" s="1173"/>
      <c r="W7" s="1171">
        <v>11</v>
      </c>
    </row>
    <row s="1658" customFormat="1" customHeight="1" ht="4.2">
      <c r="A8" s="1183"/>
      <c r="B8" s="1183"/>
      <c r="C8" s="1183"/>
      <c r="E8" s="1244"/>
      <c r="F8" s="1245"/>
      <c r="G8" s="1245"/>
      <c r="H8" s="1245"/>
      <c r="I8" s="1245"/>
      <c r="J8" s="1245"/>
      <c r="K8" s="1244"/>
      <c r="L8" s="1244"/>
      <c r="M8" s="1244"/>
      <c r="N8" s="1244"/>
      <c r="O8" s="1244"/>
      <c r="P8" s="1244"/>
      <c r="Q8" s="1244"/>
      <c r="R8" s="1244"/>
      <c r="S8" s="1244"/>
      <c r="T8" s="1244"/>
      <c r="U8" s="1244"/>
      <c r="V8" s="1244"/>
      <c r="W8" s="527">
        <v>4</v>
      </c>
    </row>
    <row customHeight="1" ht="10.5">
      <c r="E9" s="1186"/>
      <c r="F9" s="2435" t="s">
        <v>453</v>
      </c>
      <c r="G9" s="2436"/>
      <c r="H9" s="2436"/>
      <c r="I9" s="2436"/>
      <c r="J9" s="2436"/>
      <c r="K9" s="1256"/>
      <c r="L9" s="1173"/>
      <c r="M9" s="1173"/>
      <c r="N9" s="1173"/>
      <c r="O9" s="1173"/>
      <c r="P9" s="1173"/>
      <c r="Q9" s="1173"/>
      <c r="R9" s="1173"/>
      <c r="S9" s="1173"/>
      <c r="T9" s="1173"/>
      <c r="U9" s="1173"/>
      <c r="V9" s="1173"/>
      <c r="W9" s="1171">
        <v>10</v>
      </c>
    </row>
    <row customHeight="1" ht="25.2">
      <c r="E10" s="1173"/>
      <c r="F10" s="2439" t="s">
        <v>91</v>
      </c>
      <c r="G10" s="2444" t="s">
        <v>1168</v>
      </c>
      <c r="H10" s="2442" t="s">
        <v>1169</v>
      </c>
      <c r="I10" s="2442"/>
      <c r="J10" s="2442"/>
      <c r="K10" s="1249"/>
      <c r="L10" s="1173"/>
      <c r="M10" s="1173"/>
      <c r="N10" s="1173"/>
      <c r="O10" s="1173"/>
      <c r="P10" s="1173"/>
      <c r="Q10" s="1173"/>
      <c r="R10" s="1173"/>
      <c r="S10" s="1173"/>
      <c r="T10" s="1173"/>
      <c r="U10" s="1173"/>
      <c r="V10" s="1173"/>
      <c r="W10" s="1171">
        <v>24</v>
      </c>
    </row>
    <row customHeight="1" ht="25.5">
      <c r="E11" s="1173"/>
      <c r="F11" s="2440"/>
      <c r="G11" s="2444"/>
      <c r="H11" s="2443">
        <f>INDEX(IP_MAIN_LIST_NAME_IP,MATCH(H8,IP_MAIN_LIST_IP_ID,0))&amp;" ("&amp;INDEX(IP_MAIN_START_DATE,MATCH(H8,IP_MAIN_LIST_IP_ID,0))&amp;"-"&amp;INDEX(IP_MAIN_END_DATE,MATCH(H8,IP_MAIN_LIST_IP_ID,0))&amp;")"</f>
      </c>
      <c r="I11" s="2443"/>
      <c r="J11" s="2443"/>
      <c r="K11" s="1249"/>
      <c r="L11" s="1173"/>
      <c r="M11" s="1173"/>
      <c r="N11" s="1173"/>
      <c r="O11" s="1173"/>
      <c r="P11" s="1173"/>
      <c r="Q11" s="1173"/>
      <c r="R11" s="1173"/>
      <c r="S11" s="1173"/>
      <c r="T11" s="1173"/>
      <c r="U11" s="1173"/>
      <c r="V11" s="1173"/>
      <c r="W11" s="1171">
        <v>24</v>
      </c>
    </row>
    <row customHeight="1" ht="10.5">
      <c r="F12" s="2441"/>
      <c r="G12" s="2444"/>
      <c r="H12" s="1242" t="s">
        <v>1170</v>
      </c>
      <c r="I12" s="1248"/>
      <c r="J12" s="1242"/>
      <c r="K12" s="1250"/>
      <c r="W12" s="1171">
        <v>10</v>
      </c>
    </row>
    <row customHeight="1" ht="10.5" hidden="1">
      <c r="F13" s="1242">
        <v>1</v>
      </c>
      <c r="G13" s="1242">
        <v>2</v>
      </c>
      <c r="H13" s="1242">
        <v>3</v>
      </c>
      <c r="I13" s="1242">
        <v>4</v>
      </c>
      <c r="J13" s="1242">
        <v>5</v>
      </c>
      <c r="K13" s="1250"/>
      <c r="W13" s="1171">
        <v>0</v>
      </c>
    </row>
    <row customHeight="1" ht="11.549999999999999">
      <c r="F14" s="1241" t="s">
        <v>1171</v>
      </c>
      <c r="G14" s="2437" t="s">
        <v>1172</v>
      </c>
      <c r="H14" s="2437"/>
      <c r="I14" s="2437"/>
      <c r="J14" s="2437"/>
      <c r="K14" s="1250"/>
      <c r="W14" s="1171">
        <v>11</v>
      </c>
    </row>
    <row customHeight="1" ht="11.549999999999999">
      <c r="F15" s="1246">
        <v>1</v>
      </c>
      <c r="G15" s="706" t="s">
        <v>1173</v>
      </c>
      <c r="H15" s="1252">
        <f>SUM(I15:J15)</f>
        <v>0</v>
      </c>
      <c r="I15" s="1252">
        <f>SUM(I16:I27)</f>
        <v>0</v>
      </c>
      <c r="J15" s="1241"/>
      <c r="K15" s="1250"/>
      <c r="W15" s="1171">
        <v>11</v>
      </c>
    </row>
    <row customHeight="1" ht="24">
      <c r="F16" s="1246" t="s">
        <v>1174</v>
      </c>
      <c r="G16" s="1253" t="s">
        <v>1175</v>
      </c>
      <c r="H16" s="1252">
        <f>SUM(I16:J16)</f>
        <v>0</v>
      </c>
      <c r="I16" s="1251"/>
      <c r="J16" s="1241"/>
      <c r="K16" s="1250"/>
      <c r="W16" s="1171">
        <v>23</v>
      </c>
    </row>
    <row customHeight="1" ht="24">
      <c r="F17" s="1246" t="s">
        <v>1176</v>
      </c>
      <c r="G17" s="1253" t="s">
        <v>1177</v>
      </c>
      <c r="H17" s="1252">
        <f>SUM(I17:J17)</f>
        <v>0</v>
      </c>
      <c r="I17" s="1251"/>
      <c r="J17" s="1241"/>
      <c r="K17" s="1250"/>
      <c r="W17" s="1171">
        <v>23</v>
      </c>
    </row>
    <row customHeight="1" ht="35.699999999999996">
      <c r="F18" s="1246" t="s">
        <v>1178</v>
      </c>
      <c r="G18" s="1253" t="s">
        <v>1179</v>
      </c>
      <c r="H18" s="1252">
        <f>SUM(I18:J18)</f>
        <v>0</v>
      </c>
      <c r="I18" s="1251"/>
      <c r="J18" s="1241"/>
      <c r="K18" s="1250"/>
      <c r="W18" s="1171">
        <v>34</v>
      </c>
    </row>
    <row customHeight="1" ht="35.699999999999996">
      <c r="F19" s="1246" t="s">
        <v>1180</v>
      </c>
      <c r="G19" s="1253" t="s">
        <v>1181</v>
      </c>
      <c r="H19" s="1252">
        <f>SUM(I19:J19)</f>
        <v>0</v>
      </c>
      <c r="I19" s="1251"/>
      <c r="J19" s="1241"/>
      <c r="K19" s="1250"/>
      <c r="W19" s="1171">
        <v>34</v>
      </c>
    </row>
    <row customHeight="1" ht="48.29999999999999">
      <c r="F20" s="1246" t="s">
        <v>1182</v>
      </c>
      <c r="G20" s="1253" t="s">
        <v>1183</v>
      </c>
      <c r="H20" s="1252">
        <f>SUM(I20:J20)</f>
        <v>0</v>
      </c>
      <c r="I20" s="1251"/>
      <c r="J20" s="1241"/>
      <c r="K20" s="1250"/>
      <c r="W20" s="1171">
        <v>46</v>
      </c>
    </row>
    <row customHeight="1" ht="35.699999999999996">
      <c r="F21" s="1246" t="s">
        <v>1184</v>
      </c>
      <c r="G21" s="1253" t="s">
        <v>1185</v>
      </c>
      <c r="H21" s="1252">
        <f>SUM(I21:J21)</f>
        <v>0</v>
      </c>
      <c r="I21" s="1251"/>
      <c r="J21" s="1241"/>
      <c r="K21" s="1250"/>
      <c r="W21" s="1171">
        <v>34</v>
      </c>
    </row>
    <row customHeight="1" ht="35.699999999999996">
      <c r="F22" s="1246" t="s">
        <v>1186</v>
      </c>
      <c r="G22" s="1253" t="s">
        <v>1187</v>
      </c>
      <c r="H22" s="1252">
        <f>SUM(I22:J22)</f>
        <v>0</v>
      </c>
      <c r="I22" s="1251"/>
      <c r="J22" s="1241"/>
      <c r="K22" s="1250"/>
      <c r="W22" s="1171">
        <v>34</v>
      </c>
    </row>
    <row customHeight="1" ht="24">
      <c r="F23" s="1246" t="s">
        <v>1188</v>
      </c>
      <c r="G23" s="1253" t="s">
        <v>1189</v>
      </c>
      <c r="H23" s="1252">
        <f>SUM(I23:J23)</f>
        <v>0</v>
      </c>
      <c r="I23" s="1251"/>
      <c r="J23" s="1241"/>
      <c r="K23" s="1250"/>
      <c r="W23" s="1171">
        <v>23</v>
      </c>
    </row>
    <row customHeight="1" ht="24">
      <c r="F24" s="1246" t="s">
        <v>1190</v>
      </c>
      <c r="G24" s="1253" t="s">
        <v>1191</v>
      </c>
      <c r="H24" s="1252">
        <f>SUM(I24:J24)</f>
        <v>0</v>
      </c>
      <c r="I24" s="1251"/>
      <c r="J24" s="1241"/>
      <c r="K24" s="1250"/>
      <c r="W24" s="1171">
        <v>23</v>
      </c>
    </row>
    <row customHeight="1" ht="35.699999999999996">
      <c r="F25" s="1246" t="s">
        <v>1192</v>
      </c>
      <c r="G25" s="1253" t="s">
        <v>1193</v>
      </c>
      <c r="H25" s="1252">
        <f>SUM(I25:J25)</f>
        <v>0</v>
      </c>
      <c r="I25" s="1251"/>
      <c r="J25" s="1241"/>
      <c r="K25" s="1250"/>
      <c r="W25" s="1171">
        <v>34</v>
      </c>
    </row>
    <row customHeight="1" ht="35.699999999999996">
      <c r="F26" s="1246" t="s">
        <v>1194</v>
      </c>
      <c r="G26" s="1253" t="s">
        <v>1195</v>
      </c>
      <c r="H26" s="1252">
        <f>SUM(I26:J26)</f>
        <v>0</v>
      </c>
      <c r="I26" s="1251"/>
      <c r="J26" s="1241"/>
      <c r="K26" s="1250"/>
      <c r="W26" s="1171">
        <v>34</v>
      </c>
    </row>
    <row customHeight="1" ht="11.549999999999999">
      <c r="F27" s="1246" t="s">
        <v>1196</v>
      </c>
      <c r="G27" s="1253" t="s">
        <v>1197</v>
      </c>
      <c r="H27" s="1252">
        <f>SUM(I27:J27)</f>
        <v>0</v>
      </c>
      <c r="I27" s="1251"/>
      <c r="J27" s="1241"/>
      <c r="K27" s="1250"/>
      <c r="W27" s="1171">
        <v>11</v>
      </c>
    </row>
    <row customHeight="1" ht="11.549999999999999">
      <c r="F28" s="1246">
        <v>2</v>
      </c>
      <c r="G28" s="706" t="s">
        <v>1198</v>
      </c>
      <c r="H28" s="1252">
        <f>SUM(I28:J28)</f>
        <v>0</v>
      </c>
      <c r="I28" s="1252">
        <f>SUM(I29:I31)</f>
        <v>0</v>
      </c>
      <c r="J28" s="1241"/>
      <c r="K28" s="1250"/>
      <c r="W28" s="1171">
        <v>11</v>
      </c>
    </row>
    <row customHeight="1" ht="11.549999999999999">
      <c r="F29" s="1246" t="s">
        <v>861</v>
      </c>
      <c r="G29" s="1253" t="s">
        <v>1199</v>
      </c>
      <c r="H29" s="1252">
        <f>SUM(I29:J29)</f>
        <v>0</v>
      </c>
      <c r="I29" s="1251"/>
      <c r="J29" s="1241"/>
      <c r="K29" s="1250"/>
      <c r="W29" s="1171">
        <v>11</v>
      </c>
    </row>
    <row customHeight="1" ht="11.549999999999999">
      <c r="F30" s="1246" t="s">
        <v>460</v>
      </c>
      <c r="G30" s="1253" t="s">
        <v>1200</v>
      </c>
      <c r="H30" s="1252">
        <f>SUM(I30:J30)</f>
        <v>0</v>
      </c>
      <c r="I30" s="1251"/>
      <c r="J30" s="1241"/>
      <c r="K30" s="1250"/>
      <c r="W30" s="1171">
        <v>11</v>
      </c>
    </row>
    <row customHeight="1" ht="11.549999999999999">
      <c r="F31" s="1246" t="s">
        <v>463</v>
      </c>
      <c r="G31" s="1253" t="s">
        <v>1201</v>
      </c>
      <c r="H31" s="1252">
        <f>SUM(I31:J31)</f>
        <v>0</v>
      </c>
      <c r="I31" s="1251"/>
      <c r="J31" s="1241"/>
      <c r="K31" s="1250"/>
      <c r="W31" s="1171">
        <v>11</v>
      </c>
    </row>
    <row customHeight="1" ht="11.549999999999999">
      <c r="F32" s="1246">
        <v>3</v>
      </c>
      <c r="G32" s="706" t="s">
        <v>1202</v>
      </c>
      <c r="H32" s="1252">
        <f>SUM(I32:J32)</f>
        <v>0</v>
      </c>
      <c r="I32" s="1252">
        <f>SUM(I33:I34)</f>
        <v>0</v>
      </c>
      <c r="J32" s="1241"/>
      <c r="K32" s="1250"/>
      <c r="W32" s="1171">
        <v>11</v>
      </c>
    </row>
    <row customHeight="1" ht="48.29999999999999">
      <c r="F33" s="1246" t="s">
        <v>477</v>
      </c>
      <c r="G33" s="1253" t="s">
        <v>1203</v>
      </c>
      <c r="H33" s="1252">
        <f>SUM(I33:J33)</f>
        <v>0</v>
      </c>
      <c r="I33" s="1251"/>
      <c r="J33" s="1241"/>
      <c r="K33" s="1250"/>
      <c r="W33" s="1171">
        <v>46</v>
      </c>
    </row>
    <row customHeight="1" ht="11.549999999999999">
      <c r="F34" s="1246" t="s">
        <v>485</v>
      </c>
      <c r="G34" s="1253" t="s">
        <v>1204</v>
      </c>
      <c r="H34" s="1252">
        <f>SUM(I34:J34)</f>
        <v>0</v>
      </c>
      <c r="I34" s="1251"/>
      <c r="J34" s="1241"/>
      <c r="K34" s="1250"/>
      <c r="W34" s="1171">
        <v>11</v>
      </c>
    </row>
    <row customHeight="1" ht="11.549999999999999">
      <c r="F35" s="1246">
        <v>4</v>
      </c>
      <c r="G35" s="706" t="s">
        <v>1205</v>
      </c>
      <c r="H35" s="1252">
        <f>SUM(I35:J35)</f>
        <v>0</v>
      </c>
      <c r="I35" s="1251"/>
      <c r="J35" s="1241"/>
      <c r="K35" s="1250"/>
      <c r="W35" s="1171">
        <v>11</v>
      </c>
    </row>
    <row customHeight="1" ht="11.549999999999999">
      <c r="F36" s="1246"/>
      <c r="G36" s="709" t="s">
        <v>1206</v>
      </c>
      <c r="H36" s="1252">
        <f>SUM(I36:J36)</f>
        <v>0</v>
      </c>
      <c r="I36" s="1252">
        <f>SUM(I15,I28,I32,I35)</f>
        <v>0</v>
      </c>
      <c r="J36" s="1241"/>
      <c r="K36" s="1250"/>
      <c r="W36" s="1171">
        <v>11</v>
      </c>
    </row>
    <row customHeight="1" ht="29.25">
      <c r="F37" s="1247" t="s">
        <v>1207</v>
      </c>
      <c r="G37" s="2438" t="s">
        <v>1208</v>
      </c>
      <c r="H37" s="2438"/>
      <c r="I37" s="2438"/>
      <c r="J37" s="2438"/>
      <c r="K37" s="1250"/>
      <c r="W37" s="1171">
        <v>28</v>
      </c>
    </row>
    <row customHeight="1" ht="24">
      <c r="F38" s="1246" t="s">
        <v>141</v>
      </c>
      <c r="G38" s="706" t="s">
        <v>1209</v>
      </c>
      <c r="H38" s="1252">
        <f>SUM(I38:J38)</f>
        <v>0</v>
      </c>
      <c r="I38" s="1252">
        <f>SUM(I39,I44,I47)</f>
        <v>0</v>
      </c>
      <c r="J38" s="1241"/>
      <c r="K38" s="1250"/>
      <c r="W38" s="1171">
        <v>23</v>
      </c>
    </row>
    <row customHeight="1" ht="11.549999999999999">
      <c r="F39" s="1246" t="s">
        <v>1174</v>
      </c>
      <c r="G39" s="1253" t="s">
        <v>1173</v>
      </c>
      <c r="H39" s="1252">
        <f>SUM(I39:J39)</f>
        <v>0</v>
      </c>
      <c r="I39" s="1252">
        <f>SUM(I40:I43)</f>
        <v>0</v>
      </c>
      <c r="J39" s="1241"/>
      <c r="K39" s="1250"/>
      <c r="W39" s="1171">
        <v>11</v>
      </c>
    </row>
    <row customHeight="1" ht="24">
      <c r="F40" s="1246" t="s">
        <v>1210</v>
      </c>
      <c r="G40" s="1254" t="s">
        <v>1211</v>
      </c>
      <c r="H40" s="1252">
        <f>SUM(I40:J40)</f>
        <v>0</v>
      </c>
      <c r="I40" s="1251"/>
      <c r="J40" s="1241"/>
      <c r="K40" s="1250"/>
      <c r="W40" s="1171">
        <v>23</v>
      </c>
    </row>
    <row customHeight="1" ht="11.549999999999999">
      <c r="F41" s="1246" t="s">
        <v>1212</v>
      </c>
      <c r="G41" s="1254" t="s">
        <v>1213</v>
      </c>
      <c r="H41" s="1252">
        <f>SUM(I41:J41)</f>
        <v>0</v>
      </c>
      <c r="I41" s="1251"/>
      <c r="J41" s="1241"/>
      <c r="K41" s="1250"/>
      <c r="W41" s="1171">
        <v>11</v>
      </c>
    </row>
    <row customHeight="1" ht="11.549999999999999">
      <c r="F42" s="1246" t="s">
        <v>1214</v>
      </c>
      <c r="G42" s="1254" t="s">
        <v>1215</v>
      </c>
      <c r="H42" s="1252">
        <f>SUM(I42:J42)</f>
        <v>0</v>
      </c>
      <c r="I42" s="1251"/>
      <c r="J42" s="1241"/>
      <c r="K42" s="1250"/>
      <c r="W42" s="1171">
        <v>11</v>
      </c>
    </row>
    <row customHeight="1" ht="35.699999999999996">
      <c r="F43" s="1246" t="s">
        <v>1216</v>
      </c>
      <c r="G43" s="1254" t="s">
        <v>1217</v>
      </c>
      <c r="H43" s="1252">
        <f>SUM(I43:J43)</f>
        <v>0</v>
      </c>
      <c r="I43" s="1251"/>
      <c r="J43" s="1241"/>
      <c r="K43" s="1250"/>
      <c r="W43" s="1171">
        <v>34</v>
      </c>
    </row>
    <row customHeight="1" ht="11.549999999999999">
      <c r="F44" s="1246" t="s">
        <v>1176</v>
      </c>
      <c r="G44" s="1253" t="s">
        <v>1202</v>
      </c>
      <c r="H44" s="1252">
        <f>SUM(I44:J44)</f>
        <v>0</v>
      </c>
      <c r="I44" s="1252">
        <f>SUM(I45:I46)</f>
        <v>0</v>
      </c>
      <c r="J44" s="1241"/>
      <c r="K44" s="1250"/>
      <c r="W44" s="1171">
        <v>11</v>
      </c>
    </row>
    <row customHeight="1" ht="48.29999999999999">
      <c r="F45" s="1246" t="s">
        <v>1218</v>
      </c>
      <c r="G45" s="1254" t="s">
        <v>1203</v>
      </c>
      <c r="H45" s="1252">
        <f>SUM(I45:J45)</f>
        <v>0</v>
      </c>
      <c r="I45" s="1251"/>
      <c r="J45" s="1241"/>
      <c r="K45" s="1250"/>
      <c r="W45" s="1171">
        <v>46</v>
      </c>
    </row>
    <row customHeight="1" ht="11.549999999999999">
      <c r="F46" s="1246" t="s">
        <v>1219</v>
      </c>
      <c r="G46" s="1254" t="s">
        <v>1204</v>
      </c>
      <c r="H46" s="1252">
        <f>SUM(I46:J46)</f>
        <v>0</v>
      </c>
      <c r="I46" s="1251"/>
      <c r="J46" s="1241"/>
      <c r="K46" s="1250"/>
      <c r="W46" s="1171">
        <v>11</v>
      </c>
    </row>
    <row customHeight="1" ht="11.549999999999999">
      <c r="F47" s="1246" t="s">
        <v>1178</v>
      </c>
      <c r="G47" s="1253" t="s">
        <v>1220</v>
      </c>
      <c r="H47" s="1252">
        <f>SUM(I47:J47)</f>
        <v>0</v>
      </c>
      <c r="I47" s="1251"/>
      <c r="J47" s="1241"/>
      <c r="K47" s="1250"/>
      <c r="W47" s="1171">
        <v>11</v>
      </c>
    </row>
    <row customHeight="1" ht="24">
      <c r="F48" s="1246" t="s">
        <v>107</v>
      </c>
      <c r="G48" s="706" t="s">
        <v>1221</v>
      </c>
      <c r="H48" s="1252">
        <f>SUM(I48:J48)</f>
        <v>0</v>
      </c>
      <c r="I48" s="1252">
        <f>SUM(I49,I54,I57)</f>
        <v>0</v>
      </c>
      <c r="J48" s="1241"/>
      <c r="K48" s="1250"/>
      <c r="W48" s="1171">
        <v>23</v>
      </c>
    </row>
    <row customHeight="1" ht="11.549999999999999">
      <c r="F49" s="1246" t="s">
        <v>861</v>
      </c>
      <c r="G49" s="1253" t="s">
        <v>1173</v>
      </c>
      <c r="H49" s="1252">
        <f>SUM(I49:J49)</f>
        <v>0</v>
      </c>
      <c r="I49" s="1252">
        <f>SUM(I50:I53)</f>
        <v>0</v>
      </c>
      <c r="J49" s="1241"/>
      <c r="K49" s="1250"/>
      <c r="W49" s="1171">
        <v>11</v>
      </c>
    </row>
    <row customHeight="1" ht="24">
      <c r="F50" s="1246" t="s">
        <v>864</v>
      </c>
      <c r="G50" s="1254" t="s">
        <v>1211</v>
      </c>
      <c r="H50" s="1252">
        <f>SUM(I50:J50)</f>
        <v>0</v>
      </c>
      <c r="I50" s="1251"/>
      <c r="J50" s="1241"/>
      <c r="K50" s="1250"/>
      <c r="W50" s="1171">
        <v>23</v>
      </c>
    </row>
    <row customHeight="1" ht="11.549999999999999">
      <c r="F51" s="1246" t="s">
        <v>867</v>
      </c>
      <c r="G51" s="1254" t="s">
        <v>1213</v>
      </c>
      <c r="H51" s="1252">
        <f>SUM(I51:J51)</f>
        <v>0</v>
      </c>
      <c r="I51" s="1251"/>
      <c r="J51" s="1241"/>
      <c r="K51" s="1250"/>
      <c r="W51" s="1171">
        <v>11</v>
      </c>
    </row>
    <row customHeight="1" ht="11.549999999999999">
      <c r="F52" s="1246" t="s">
        <v>1222</v>
      </c>
      <c r="G52" s="1254" t="s">
        <v>1215</v>
      </c>
      <c r="H52" s="1252">
        <f>SUM(I52:J52)</f>
        <v>0</v>
      </c>
      <c r="I52" s="1251"/>
      <c r="J52" s="1241"/>
      <c r="K52" s="1250"/>
      <c r="W52" s="1171">
        <v>11</v>
      </c>
    </row>
    <row customHeight="1" ht="35.699999999999996">
      <c r="F53" s="1246" t="s">
        <v>1223</v>
      </c>
      <c r="G53" s="1254" t="s">
        <v>1217</v>
      </c>
      <c r="H53" s="1252">
        <f>SUM(I53:J53)</f>
        <v>0</v>
      </c>
      <c r="I53" s="1251"/>
      <c r="J53" s="1241"/>
      <c r="K53" s="1250"/>
      <c r="W53" s="1171">
        <v>34</v>
      </c>
    </row>
    <row customHeight="1" ht="11.549999999999999">
      <c r="F54" s="1246" t="s">
        <v>460</v>
      </c>
      <c r="G54" s="1253" t="s">
        <v>1202</v>
      </c>
      <c r="H54" s="1252">
        <f>SUM(I54:J54)</f>
        <v>0</v>
      </c>
      <c r="I54" s="1252">
        <f>SUM(I55:I56)</f>
        <v>0</v>
      </c>
      <c r="J54" s="1241"/>
      <c r="K54" s="1250"/>
      <c r="W54" s="1171">
        <v>11</v>
      </c>
    </row>
    <row customHeight="1" ht="48.29999999999999">
      <c r="F55" s="1246" t="s">
        <v>871</v>
      </c>
      <c r="G55" s="1254" t="s">
        <v>1203</v>
      </c>
      <c r="H55" s="1252">
        <f>SUM(I55:J55)</f>
        <v>0</v>
      </c>
      <c r="I55" s="1251"/>
      <c r="J55" s="1241"/>
      <c r="K55" s="1250"/>
      <c r="W55" s="1171">
        <v>46</v>
      </c>
    </row>
    <row customHeight="1" ht="11.549999999999999">
      <c r="F56" s="1246" t="s">
        <v>873</v>
      </c>
      <c r="G56" s="1254" t="s">
        <v>1204</v>
      </c>
      <c r="H56" s="1252">
        <f>SUM(I56:J56)</f>
        <v>0</v>
      </c>
      <c r="I56" s="1251"/>
      <c r="J56" s="1241"/>
      <c r="K56" s="1250"/>
      <c r="W56" s="1171">
        <v>11</v>
      </c>
    </row>
    <row customHeight="1" ht="11.549999999999999">
      <c r="F57" s="1246" t="s">
        <v>463</v>
      </c>
      <c r="G57" s="1253" t="s">
        <v>1220</v>
      </c>
      <c r="H57" s="1252">
        <f>SUM(I57:J57)</f>
        <v>0</v>
      </c>
      <c r="I57" s="1251"/>
      <c r="J57" s="1241"/>
      <c r="K57" s="1250"/>
      <c r="W57" s="1171">
        <v>11</v>
      </c>
    </row>
    <row customHeight="1" ht="11.549999999999999">
      <c r="F58" s="1246"/>
      <c r="G58" s="1255" t="s">
        <v>1206</v>
      </c>
      <c r="H58" s="1252">
        <f>SUM(I58:J58)</f>
        <v>0</v>
      </c>
      <c r="I58" s="1252">
        <f>SUM(I38,I48)</f>
        <v>0</v>
      </c>
      <c r="J58" s="1241"/>
      <c r="K58" s="1250"/>
      <c r="W58" s="1171">
        <v>11</v>
      </c>
    </row>
    <row customHeight="1" ht="10.5" hidden="1">
      <c r="A59" s="1182" t="s">
        <v>85</v>
      </c>
      <c r="B59" s="1182">
        <v>0</v>
      </c>
      <c r="C59" s="1182">
        <v>0</v>
      </c>
      <c r="D59" s="1176">
        <v>0</v>
      </c>
      <c r="E59" s="525">
        <v>3</v>
      </c>
      <c r="F59" s="1171">
        <v>6</v>
      </c>
      <c r="G59" s="1171">
        <v>60</v>
      </c>
      <c r="H59" s="1171">
        <v>0</v>
      </c>
      <c r="I59" s="1171">
        <v>0</v>
      </c>
      <c r="J59" s="1171">
        <v>0</v>
      </c>
      <c r="K59" s="1171">
        <v>1</v>
      </c>
      <c r="L59" s="1171">
        <v>8</v>
      </c>
      <c r="M59" s="1171">
        <v>8</v>
      </c>
      <c r="N59" s="1171">
        <v>8</v>
      </c>
      <c r="O59" s="1171">
        <v>8</v>
      </c>
      <c r="P59" s="1171">
        <v>8</v>
      </c>
      <c r="Q59" s="1171">
        <v>8</v>
      </c>
      <c r="R59" s="1171">
        <v>8</v>
      </c>
      <c r="S59" s="1171">
        <v>8</v>
      </c>
      <c r="T59" s="1171">
        <v>8</v>
      </c>
      <c r="U59" s="1171">
        <v>8</v>
      </c>
      <c r="V59" s="1171">
        <v>8</v>
      </c>
      <c r="W59" s="117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AA845-9E82-6BEE-4EF9-0FB1769CFED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9" width="4.7109375" hidden="1" customWidth="1"/>
    <col min="2" max="2" style="952" width="4.7109375" hidden="1" customWidth="1"/>
    <col min="3" max="4" style="1079" width="4.7109375" hidden="1" customWidth="1"/>
    <col min="5" max="5" style="1079" width="3.00390625" customWidth="1"/>
    <col min="6" max="6" style="1079" width="6.00390625" customWidth="1"/>
    <col min="7" max="7" style="1079" width="18.00390625" customWidth="1"/>
    <col min="8" max="8" style="1079" width="27.00390625" customWidth="1"/>
    <col min="9" max="9" style="1079" width="18.00390625" customWidth="1"/>
    <col min="10" max="14" style="1079" width="0.8515625" hidden="1" customWidth="1"/>
    <col min="15" max="28" style="1079" width="21.7109375" customWidth="1"/>
    <col min="29" max="71" style="1079" width="0.8515625" customWidth="1"/>
    <col min="72" max="79" style="1079" width="21.7109375" hidden="1" customWidth="1"/>
    <col min="80" max="81" style="1079" width="29.140625" hidden="1" customWidth="1"/>
    <col min="82" max="89" style="1079" width="21.7109375" hidden="1" customWidth="1"/>
    <col min="90" max="102" style="1079" width="0.7109375" hidden="1" customWidth="1"/>
    <col min="103" max="114" style="1079" width="21.7109375" hidden="1" customWidth="1"/>
    <col min="115" max="178" style="1079" width="0.7109375" hidden="1" customWidth="1"/>
    <col min="179" max="179" style="1079" width="0.140625" customWidth="1"/>
    <col min="180" max="184" style="1079" width="8.00390625" customWidth="1"/>
    <col min="185" max="185" style="1079" width="9.140625" hidden="1"/>
  </cols>
  <sheetData>
    <row s="941" customFormat="1" customHeight="1" ht="12" hidden="1">
      <c r="B1" s="939"/>
      <c r="C1" s="940"/>
      <c r="D1" s="940"/>
      <c r="GC1" s="938" t="s">
        <v>14</v>
      </c>
    </row>
    <row s="941" customFormat="1" customHeight="1" ht="12" hidden="1">
      <c r="B2" s="939"/>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1"/>
      <c r="AC2" s="940"/>
      <c r="AD2" s="940"/>
      <c r="AE2" s="940"/>
      <c r="AF2" s="940"/>
      <c r="AG2" s="940"/>
      <c r="AH2" s="940"/>
      <c r="AI2" s="940"/>
      <c r="AJ2" s="940"/>
      <c r="AK2" s="940"/>
      <c r="AL2" s="940"/>
      <c r="AM2" s="940"/>
      <c r="AN2" s="940"/>
      <c r="AO2" s="940"/>
      <c r="AP2" s="940"/>
      <c r="AQ2" s="940"/>
      <c r="AR2" s="940"/>
      <c r="AS2" s="940"/>
      <c r="AT2" s="940"/>
      <c r="AU2" s="940"/>
      <c r="AV2" s="940"/>
      <c r="AW2" s="940"/>
      <c r="AX2" s="940"/>
      <c r="AY2" s="940"/>
      <c r="AZ2" s="940"/>
      <c r="BA2" s="940"/>
      <c r="BB2" s="940"/>
      <c r="BC2" s="940"/>
      <c r="BD2" s="940"/>
      <c r="BE2" s="940"/>
      <c r="BF2" s="940"/>
      <c r="BG2" s="940"/>
      <c r="BH2" s="940"/>
      <c r="BI2" s="940"/>
      <c r="BJ2" s="940"/>
      <c r="BK2" s="940"/>
      <c r="BL2" s="940"/>
      <c r="BM2" s="940"/>
      <c r="BN2" s="940"/>
      <c r="BO2" s="940"/>
      <c r="BP2" s="940"/>
      <c r="BQ2" s="940"/>
      <c r="BR2" s="940"/>
      <c r="BS2" s="940"/>
      <c r="BT2" s="940"/>
      <c r="BU2" s="940"/>
      <c r="BV2" s="940"/>
      <c r="BW2" s="940"/>
      <c r="BX2" s="940"/>
      <c r="BY2" s="940"/>
      <c r="BZ2" s="940"/>
      <c r="CA2" s="940"/>
      <c r="CB2" s="940"/>
      <c r="CC2" s="940"/>
      <c r="CD2" s="940"/>
      <c r="CE2" s="940"/>
      <c r="CF2" s="940"/>
      <c r="CG2" s="940"/>
      <c r="CH2" s="940"/>
      <c r="CI2" s="940"/>
      <c r="CJ2" s="940"/>
      <c r="CK2" s="940"/>
      <c r="CL2" s="940"/>
      <c r="CM2" s="940"/>
      <c r="CN2" s="940"/>
      <c r="CO2" s="940"/>
      <c r="CP2" s="940"/>
      <c r="CQ2" s="940"/>
      <c r="CR2" s="940"/>
      <c r="CS2" s="940"/>
      <c r="CT2" s="940"/>
      <c r="CU2" s="940"/>
      <c r="CV2" s="940"/>
      <c r="CW2" s="940"/>
      <c r="CX2" s="940"/>
      <c r="CY2" s="940"/>
      <c r="CZ2" s="940"/>
      <c r="DA2" s="940"/>
      <c r="DB2" s="940"/>
      <c r="DC2" s="940"/>
      <c r="DD2" s="940"/>
      <c r="DE2" s="940"/>
      <c r="DF2" s="940"/>
      <c r="DG2" s="940"/>
      <c r="DH2" s="940"/>
      <c r="DI2" s="940"/>
      <c r="DJ2" s="940"/>
      <c r="DK2" s="940"/>
      <c r="DL2" s="940"/>
      <c r="DM2" s="940"/>
      <c r="DN2" s="940"/>
      <c r="DO2" s="940"/>
      <c r="DP2" s="940"/>
      <c r="DQ2" s="940"/>
      <c r="DR2" s="940"/>
      <c r="DS2" s="940"/>
      <c r="DT2" s="940"/>
      <c r="DU2" s="940"/>
      <c r="DV2" s="940"/>
      <c r="DW2" s="940"/>
      <c r="DX2" s="940"/>
      <c r="DY2" s="940"/>
      <c r="DZ2" s="940"/>
      <c r="EA2" s="940"/>
      <c r="EB2" s="940"/>
      <c r="EC2" s="940"/>
      <c r="ED2" s="940"/>
      <c r="EE2" s="940"/>
      <c r="EF2" s="940"/>
      <c r="EG2" s="940"/>
      <c r="EH2" s="940"/>
      <c r="EI2" s="940"/>
      <c r="EJ2" s="940"/>
      <c r="EK2" s="940"/>
      <c r="EL2" s="940"/>
      <c r="EM2" s="940"/>
      <c r="EN2" s="940"/>
      <c r="EO2" s="940"/>
      <c r="EP2" s="940"/>
      <c r="EQ2" s="940"/>
      <c r="ER2" s="940"/>
      <c r="ES2" s="940"/>
      <c r="ET2" s="940"/>
      <c r="EU2" s="940"/>
      <c r="EV2" s="940"/>
      <c r="EW2" s="940"/>
      <c r="EX2" s="940"/>
      <c r="EY2" s="940"/>
      <c r="EZ2" s="940"/>
      <c r="FA2" s="940"/>
      <c r="FB2" s="940"/>
      <c r="FC2" s="940"/>
      <c r="FD2" s="940"/>
      <c r="FE2" s="940"/>
      <c r="FF2" s="940"/>
      <c r="FG2" s="940"/>
      <c r="FH2" s="940"/>
      <c r="FI2" s="940"/>
      <c r="FJ2" s="940"/>
      <c r="FK2" s="940"/>
      <c r="FL2" s="940"/>
      <c r="FM2" s="940"/>
      <c r="FN2" s="940"/>
      <c r="FO2" s="940"/>
      <c r="FP2" s="940"/>
      <c r="FQ2" s="940"/>
      <c r="FR2" s="940"/>
      <c r="FS2" s="940"/>
      <c r="FT2" s="940"/>
      <c r="FU2" s="940"/>
      <c r="FV2" s="940"/>
      <c r="FW2" s="940"/>
      <c r="GC2" s="938">
        <v>0</v>
      </c>
    </row>
    <row s="941" customFormat="1" customHeight="1" ht="12" hidden="1">
      <c r="B3" s="939"/>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1"/>
      <c r="AC3" s="940"/>
      <c r="AD3" s="940"/>
      <c r="AE3" s="940"/>
      <c r="AF3" s="940"/>
      <c r="AG3" s="940"/>
      <c r="AH3" s="940"/>
      <c r="AI3" s="940"/>
      <c r="AJ3" s="940"/>
      <c r="AK3" s="940"/>
      <c r="AL3" s="940"/>
      <c r="AM3" s="940"/>
      <c r="AN3" s="940"/>
      <c r="AO3" s="940"/>
      <c r="AP3" s="940"/>
      <c r="AQ3" s="940"/>
      <c r="AR3" s="940"/>
      <c r="AS3" s="940"/>
      <c r="AT3" s="940"/>
      <c r="AU3" s="940"/>
      <c r="AV3" s="940"/>
      <c r="AW3" s="940"/>
      <c r="AX3" s="940"/>
      <c r="AY3" s="940"/>
      <c r="AZ3" s="940"/>
      <c r="BA3" s="940"/>
      <c r="BB3" s="940"/>
      <c r="BC3" s="940"/>
      <c r="BD3" s="940"/>
      <c r="BE3" s="940"/>
      <c r="BF3" s="940"/>
      <c r="BG3" s="940"/>
      <c r="BH3" s="940"/>
      <c r="BI3" s="940"/>
      <c r="BJ3" s="940"/>
      <c r="BK3" s="940"/>
      <c r="BL3" s="940"/>
      <c r="BM3" s="940"/>
      <c r="BN3" s="940"/>
      <c r="BO3" s="940"/>
      <c r="BP3" s="940"/>
      <c r="BQ3" s="940"/>
      <c r="BR3" s="940"/>
      <c r="BS3" s="940"/>
      <c r="BT3" s="940"/>
      <c r="BU3" s="940"/>
      <c r="BV3" s="940"/>
      <c r="BW3" s="940"/>
      <c r="BX3" s="940"/>
      <c r="BY3" s="940"/>
      <c r="BZ3" s="940"/>
      <c r="CA3" s="940"/>
      <c r="CB3" s="940"/>
      <c r="CC3" s="940"/>
      <c r="CD3" s="940"/>
      <c r="CE3" s="940"/>
      <c r="CF3" s="940"/>
      <c r="CG3" s="940"/>
      <c r="CH3" s="940"/>
      <c r="CI3" s="940"/>
      <c r="CJ3" s="940"/>
      <c r="CK3" s="940"/>
      <c r="CL3" s="940"/>
      <c r="CM3" s="940"/>
      <c r="CN3" s="940"/>
      <c r="CO3" s="940"/>
      <c r="CP3" s="940"/>
      <c r="CQ3" s="940"/>
      <c r="CR3" s="940"/>
      <c r="CS3" s="940"/>
      <c r="CT3" s="940"/>
      <c r="CU3" s="940"/>
      <c r="CV3" s="940"/>
      <c r="CW3" s="940"/>
      <c r="CX3" s="940"/>
      <c r="CY3" s="940"/>
      <c r="CZ3" s="940"/>
      <c r="DA3" s="940"/>
      <c r="DB3" s="940"/>
      <c r="DC3" s="940"/>
      <c r="DD3" s="940"/>
      <c r="DE3" s="940"/>
      <c r="DF3" s="940"/>
      <c r="DG3" s="940"/>
      <c r="DH3" s="940"/>
      <c r="DI3" s="940"/>
      <c r="DJ3" s="940"/>
      <c r="DK3" s="940"/>
      <c r="DL3" s="940"/>
      <c r="DM3" s="940"/>
      <c r="DN3" s="940"/>
      <c r="DO3" s="940"/>
      <c r="DP3" s="940"/>
      <c r="DQ3" s="940"/>
      <c r="DR3" s="940"/>
      <c r="DS3" s="940"/>
      <c r="DT3" s="940"/>
      <c r="DU3" s="940"/>
      <c r="DV3" s="940"/>
      <c r="DW3" s="940"/>
      <c r="DX3" s="940"/>
      <c r="DY3" s="940"/>
      <c r="DZ3" s="940"/>
      <c r="EA3" s="940"/>
      <c r="EB3" s="940"/>
      <c r="EC3" s="940"/>
      <c r="ED3" s="940"/>
      <c r="EE3" s="940"/>
      <c r="EF3" s="940"/>
      <c r="EG3" s="940"/>
      <c r="EH3" s="940"/>
      <c r="EI3" s="940"/>
      <c r="EJ3" s="940"/>
      <c r="EK3" s="940"/>
      <c r="EL3" s="940"/>
      <c r="EM3" s="940"/>
      <c r="EN3" s="940"/>
      <c r="EO3" s="940"/>
      <c r="EP3" s="940"/>
      <c r="EQ3" s="940"/>
      <c r="ER3" s="940"/>
      <c r="ES3" s="940"/>
      <c r="ET3" s="940"/>
      <c r="EU3" s="940"/>
      <c r="EV3" s="940"/>
      <c r="EW3" s="940"/>
      <c r="EX3" s="940"/>
      <c r="EY3" s="940"/>
      <c r="EZ3" s="940"/>
      <c r="FA3" s="940"/>
      <c r="FB3" s="940"/>
      <c r="FC3" s="940"/>
      <c r="FD3" s="940"/>
      <c r="FE3" s="940"/>
      <c r="FF3" s="940"/>
      <c r="FG3" s="940"/>
      <c r="FH3" s="940"/>
      <c r="FI3" s="940"/>
      <c r="FJ3" s="940"/>
      <c r="FK3" s="940"/>
      <c r="FL3" s="940"/>
      <c r="FM3" s="940"/>
      <c r="FN3" s="940"/>
      <c r="FO3" s="940"/>
      <c r="FP3" s="940"/>
      <c r="FQ3" s="940"/>
      <c r="FR3" s="940"/>
      <c r="FS3" s="940"/>
      <c r="FT3" s="940"/>
      <c r="FU3" s="940"/>
      <c r="FV3" s="940"/>
      <c r="FW3" s="940"/>
      <c r="GC3" s="938">
        <v>0</v>
      </c>
    </row>
    <row customHeight="1" ht="10.5">
      <c r="B4" s="943"/>
      <c r="C4" s="944"/>
      <c r="D4" s="944"/>
      <c r="E4" s="944"/>
      <c r="F4" s="944"/>
      <c r="G4" s="944"/>
      <c r="H4" s="945"/>
      <c r="I4" s="945"/>
      <c r="J4" s="945"/>
      <c r="K4" s="945"/>
      <c r="L4" s="945"/>
      <c r="M4" s="946"/>
      <c r="N4" s="946"/>
      <c r="O4" s="946"/>
      <c r="P4" s="946"/>
      <c r="Q4" s="946"/>
      <c r="R4" s="946"/>
      <c r="S4" s="946"/>
      <c r="T4" s="946"/>
      <c r="U4" s="946"/>
      <c r="V4" s="946"/>
      <c r="W4" s="946"/>
      <c r="X4" s="946"/>
      <c r="Y4" s="946"/>
      <c r="Z4" s="946"/>
      <c r="AA4" s="946"/>
      <c r="AB4" s="946"/>
      <c r="AC4" s="946"/>
      <c r="AD4" s="946"/>
      <c r="AE4" s="946"/>
      <c r="AF4" s="946"/>
      <c r="AG4" s="946"/>
      <c r="AH4" s="946"/>
      <c r="AI4" s="946"/>
      <c r="AJ4" s="946"/>
      <c r="AK4" s="946"/>
      <c r="AL4" s="946"/>
      <c r="AM4" s="946"/>
      <c r="AN4" s="946"/>
      <c r="AO4" s="946"/>
      <c r="AP4" s="946"/>
      <c r="AQ4" s="946"/>
      <c r="AR4" s="946"/>
      <c r="AS4" s="946"/>
      <c r="AT4" s="946"/>
      <c r="AU4" s="946"/>
      <c r="AV4" s="946"/>
      <c r="AW4" s="946"/>
      <c r="AX4" s="946"/>
      <c r="AY4" s="946"/>
      <c r="AZ4" s="946"/>
      <c r="BA4" s="946"/>
      <c r="BB4" s="946"/>
      <c r="BC4" s="946"/>
      <c r="BD4" s="946"/>
      <c r="BE4" s="946"/>
      <c r="BF4" s="946"/>
      <c r="BG4" s="946"/>
      <c r="BH4" s="946"/>
      <c r="BI4" s="946"/>
      <c r="BJ4" s="946"/>
      <c r="BK4" s="946"/>
      <c r="BL4" s="946"/>
      <c r="BM4" s="946"/>
      <c r="BN4" s="946"/>
      <c r="BO4" s="946"/>
      <c r="BP4" s="946"/>
      <c r="BQ4" s="946"/>
      <c r="BR4" s="946"/>
      <c r="BS4" s="946"/>
      <c r="BT4" s="946"/>
      <c r="BU4" s="946"/>
      <c r="BV4" s="946"/>
      <c r="BW4" s="946"/>
      <c r="BX4" s="946"/>
      <c r="BY4" s="946"/>
      <c r="BZ4" s="946"/>
      <c r="CA4" s="946"/>
      <c r="CB4" s="946"/>
      <c r="CC4" s="946"/>
      <c r="CD4" s="946"/>
      <c r="CE4" s="946"/>
      <c r="CF4" s="946"/>
      <c r="CG4" s="946"/>
      <c r="CH4" s="946"/>
      <c r="CI4" s="946"/>
      <c r="CJ4" s="946"/>
      <c r="CK4" s="946"/>
      <c r="CL4" s="946"/>
      <c r="CM4" s="946"/>
      <c r="CN4" s="946"/>
      <c r="CO4" s="946"/>
      <c r="CP4" s="946"/>
      <c r="CQ4" s="946"/>
      <c r="CR4" s="946"/>
      <c r="CS4" s="946"/>
      <c r="CT4" s="946"/>
      <c r="CU4" s="946"/>
      <c r="CV4" s="946"/>
      <c r="CW4" s="946"/>
      <c r="CX4" s="946"/>
      <c r="CY4" s="946"/>
      <c r="CZ4" s="946"/>
      <c r="DA4" s="946"/>
      <c r="DB4" s="946"/>
      <c r="DC4" s="946"/>
      <c r="DD4" s="946"/>
      <c r="DE4" s="946"/>
      <c r="DF4" s="946"/>
      <c r="DG4" s="946"/>
      <c r="DH4" s="946"/>
      <c r="DI4" s="946"/>
      <c r="DJ4" s="946"/>
      <c r="DK4" s="946"/>
      <c r="DL4" s="946"/>
      <c r="DM4" s="946"/>
      <c r="DN4" s="946"/>
      <c r="DO4" s="946"/>
      <c r="DP4" s="946"/>
      <c r="DQ4" s="946"/>
      <c r="DR4" s="946"/>
      <c r="DS4" s="946"/>
      <c r="DT4" s="946"/>
      <c r="DU4" s="946"/>
      <c r="DV4" s="946"/>
      <c r="DW4" s="946"/>
      <c r="DX4" s="946"/>
      <c r="DY4" s="946"/>
      <c r="DZ4" s="946"/>
      <c r="EA4" s="946"/>
      <c r="EB4" s="946"/>
      <c r="EC4" s="946"/>
      <c r="ED4" s="946"/>
      <c r="EE4" s="946"/>
      <c r="EF4" s="946"/>
      <c r="EG4" s="946"/>
      <c r="EH4" s="946"/>
      <c r="EI4" s="946"/>
      <c r="EJ4" s="946"/>
      <c r="EK4" s="946"/>
      <c r="EL4" s="946"/>
      <c r="EM4" s="946"/>
      <c r="EN4" s="946"/>
      <c r="EO4" s="946"/>
      <c r="EP4" s="946"/>
      <c r="EQ4" s="946"/>
      <c r="ER4" s="946"/>
      <c r="ES4" s="946"/>
      <c r="ET4" s="946"/>
      <c r="EU4" s="946"/>
      <c r="EV4" s="946"/>
      <c r="EW4" s="946"/>
      <c r="EX4" s="946"/>
      <c r="EY4" s="946"/>
      <c r="EZ4" s="946"/>
      <c r="FA4" s="946"/>
      <c r="FB4" s="946"/>
      <c r="FC4" s="946"/>
      <c r="FD4" s="946"/>
      <c r="FE4" s="946"/>
      <c r="FF4" s="946"/>
      <c r="FG4" s="946"/>
      <c r="FH4" s="946"/>
      <c r="FI4" s="946"/>
      <c r="FJ4" s="946"/>
      <c r="FK4" s="946"/>
      <c r="FL4" s="946"/>
      <c r="FM4" s="946"/>
      <c r="FN4" s="946"/>
      <c r="FO4" s="946"/>
      <c r="FP4" s="946"/>
      <c r="FQ4" s="946"/>
      <c r="FR4" s="946"/>
      <c r="FS4" s="946"/>
      <c r="FT4" s="946"/>
      <c r="FU4" s="946"/>
      <c r="FV4" s="946"/>
      <c r="FW4" s="946"/>
      <c r="GC4" s="942">
        <v>10</v>
      </c>
    </row>
    <row s="1889" customFormat="1" customHeight="1" ht="27.299999999999997">
      <c r="B5" s="1888"/>
      <c r="E5" s="1890"/>
      <c r="F5" s="244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89">
        <v>26</v>
      </c>
    </row>
    <row s="2154" customFormat="1" customHeight="1" ht="18.75">
      <c r="B6" s="959"/>
      <c r="E6" s="961"/>
      <c r="F6" s="2230" t="str">
        <f>IF(org=0,"Не определено",org)</f>
        <v>КГУП "Примтеплоэнерго"</v>
      </c>
      <c r="G6" s="2231"/>
      <c r="H6" s="2231"/>
      <c r="I6" s="2231"/>
      <c r="J6" s="2231"/>
      <c r="K6" s="2231"/>
      <c r="L6" s="2231"/>
      <c r="M6" s="2231"/>
      <c r="N6" s="2231"/>
      <c r="O6" s="2231"/>
      <c r="P6" s="2231"/>
      <c r="Q6" s="2231"/>
      <c r="R6" s="2231"/>
      <c r="S6" s="2231"/>
      <c r="T6" s="2231"/>
      <c r="U6" s="2231"/>
      <c r="V6" s="2231"/>
      <c r="W6" s="2231"/>
      <c r="X6" s="2231"/>
      <c r="Y6" s="2231"/>
      <c r="Z6" s="2231"/>
      <c r="AA6" s="2231"/>
      <c r="AB6" s="2231"/>
      <c r="AC6" s="2231"/>
      <c r="AD6" s="2231"/>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1"/>
      <c r="BC6" s="2231"/>
      <c r="BD6" s="2231"/>
      <c r="BE6" s="2231"/>
      <c r="BF6" s="2231"/>
      <c r="BG6" s="2231"/>
      <c r="BH6" s="2231"/>
      <c r="BI6" s="2231"/>
      <c r="BJ6" s="2231"/>
      <c r="BK6" s="2231"/>
      <c r="BL6" s="2231"/>
      <c r="BM6" s="2231"/>
      <c r="BN6" s="2231"/>
      <c r="BO6" s="2231"/>
      <c r="BP6" s="2231"/>
      <c r="BQ6" s="2231"/>
      <c r="BR6" s="2231"/>
      <c r="BS6" s="2231"/>
      <c r="GC6" s="960">
        <v>18</v>
      </c>
    </row>
    <row s="949" customFormat="1" customHeight="1" ht="10.5">
      <c r="B7" s="948"/>
      <c r="E7" s="949"/>
      <c r="F7" s="949"/>
      <c r="G7" s="951"/>
      <c r="H7" s="945"/>
      <c r="I7" s="945"/>
      <c r="J7" s="945"/>
      <c r="K7" s="945"/>
      <c r="L7" s="945"/>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49"/>
      <c r="AY7" s="949"/>
      <c r="AZ7" s="949"/>
      <c r="BA7" s="949"/>
      <c r="BB7" s="949"/>
      <c r="BC7" s="949"/>
      <c r="BD7" s="949"/>
      <c r="BE7" s="949"/>
      <c r="BF7" s="949"/>
      <c r="BG7" s="949"/>
      <c r="BH7" s="949"/>
      <c r="BI7" s="949"/>
      <c r="BJ7" s="949"/>
      <c r="BK7" s="949"/>
      <c r="BL7" s="949"/>
      <c r="BM7" s="949"/>
      <c r="BN7" s="949"/>
      <c r="BO7" s="949"/>
      <c r="BP7" s="949"/>
      <c r="BQ7" s="949"/>
      <c r="BR7" s="949"/>
      <c r="BS7" s="949"/>
      <c r="BT7" s="949"/>
      <c r="BU7" s="949"/>
      <c r="BV7" s="949"/>
      <c r="BW7" s="949"/>
      <c r="BX7" s="949"/>
      <c r="BY7" s="949"/>
      <c r="BZ7" s="949"/>
      <c r="CA7" s="949"/>
      <c r="CB7" s="949"/>
      <c r="CC7" s="949"/>
      <c r="CD7" s="949"/>
      <c r="CE7" s="949"/>
      <c r="CF7" s="949"/>
      <c r="CG7" s="949"/>
      <c r="CH7" s="949"/>
      <c r="CI7" s="949"/>
      <c r="CJ7" s="949"/>
      <c r="CK7" s="949"/>
      <c r="CL7" s="949"/>
      <c r="CM7" s="949"/>
      <c r="CN7" s="949"/>
      <c r="CO7" s="949"/>
      <c r="CP7" s="949"/>
      <c r="CQ7" s="949"/>
      <c r="CR7" s="949"/>
      <c r="CS7" s="949"/>
      <c r="CT7" s="949"/>
      <c r="CU7" s="949"/>
      <c r="CV7" s="949"/>
      <c r="CW7" s="949"/>
      <c r="CX7" s="949"/>
      <c r="CY7" s="949"/>
      <c r="CZ7" s="949"/>
      <c r="DA7" s="949"/>
      <c r="DB7" s="949"/>
      <c r="DC7" s="949"/>
      <c r="DD7" s="949"/>
      <c r="DE7" s="949"/>
      <c r="DF7" s="949"/>
      <c r="DG7" s="949"/>
      <c r="DH7" s="949"/>
      <c r="DI7" s="949"/>
      <c r="DJ7" s="949"/>
      <c r="DK7" s="949"/>
      <c r="DL7" s="949"/>
      <c r="DM7" s="949"/>
      <c r="DN7" s="949"/>
      <c r="DO7" s="949"/>
      <c r="DP7" s="949"/>
      <c r="DQ7" s="949"/>
      <c r="DR7" s="949"/>
      <c r="DS7" s="949"/>
      <c r="DT7" s="949"/>
      <c r="DU7" s="949"/>
      <c r="DV7" s="949"/>
      <c r="DW7" s="949"/>
      <c r="DX7" s="949"/>
      <c r="DY7" s="949"/>
      <c r="DZ7" s="949"/>
      <c r="EA7" s="949"/>
      <c r="EB7" s="949"/>
      <c r="EC7" s="949"/>
      <c r="ED7" s="949"/>
      <c r="EE7" s="949"/>
      <c r="EF7" s="949"/>
      <c r="EG7" s="949"/>
      <c r="EH7" s="949"/>
      <c r="EI7" s="949"/>
      <c r="EJ7" s="949"/>
      <c r="EK7" s="949"/>
      <c r="EL7" s="949"/>
      <c r="EM7" s="949"/>
      <c r="EN7" s="949"/>
      <c r="EO7" s="949"/>
      <c r="EP7" s="949"/>
      <c r="EQ7" s="949"/>
      <c r="ER7" s="949"/>
      <c r="ES7" s="949"/>
      <c r="ET7" s="949"/>
      <c r="EU7" s="949"/>
      <c r="EV7" s="949"/>
      <c r="EW7" s="949"/>
      <c r="EX7" s="949"/>
      <c r="EY7" s="949"/>
      <c r="EZ7" s="949"/>
      <c r="FA7" s="949"/>
      <c r="FB7" s="949"/>
      <c r="FC7" s="949"/>
      <c r="FD7" s="949"/>
      <c r="FE7" s="949"/>
      <c r="FF7" s="949"/>
      <c r="FG7" s="949"/>
      <c r="FH7" s="949"/>
      <c r="FI7" s="949"/>
      <c r="FJ7" s="949"/>
      <c r="FK7" s="949"/>
      <c r="FL7" s="949"/>
      <c r="FM7" s="949"/>
      <c r="FN7" s="949"/>
      <c r="FO7" s="949"/>
      <c r="FP7" s="949"/>
      <c r="FQ7" s="949"/>
      <c r="FR7" s="949"/>
      <c r="FS7" s="949"/>
      <c r="FT7" s="949"/>
      <c r="FU7" s="949"/>
      <c r="FV7" s="949"/>
      <c r="FW7" s="949"/>
      <c r="GC7" s="947">
        <v>10</v>
      </c>
    </row>
    <row s="949" customFormat="1" customHeight="1" ht="11.25" hidden="1">
      <c r="B8" s="950"/>
      <c r="F8" s="1072"/>
      <c r="G8" s="779"/>
      <c r="H8" s="376"/>
      <c r="I8" s="376"/>
      <c r="J8" s="376"/>
      <c r="K8" s="376"/>
      <c r="L8" s="376"/>
      <c r="M8" s="1072"/>
      <c r="N8" s="1072"/>
      <c r="O8" s="2466" t="s">
        <v>1224</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1225</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072"/>
      <c r="GC8" s="949">
        <v>0</v>
      </c>
    </row>
    <row s="949" customFormat="1" customHeight="1" ht="11.25" hidden="1">
      <c r="B9" s="950"/>
      <c r="F9" s="1072"/>
      <c r="G9" s="779"/>
      <c r="H9" s="376"/>
      <c r="I9" s="376"/>
      <c r="J9" s="376"/>
      <c r="K9" s="376"/>
      <c r="L9" s="376"/>
      <c r="M9" s="1072"/>
      <c r="N9" s="1072"/>
      <c r="O9" s="1072"/>
      <c r="P9" s="1072"/>
      <c r="Q9" s="1072"/>
      <c r="R9" s="1072"/>
      <c r="S9" s="1072"/>
      <c r="T9" s="1072"/>
      <c r="U9" s="1072"/>
      <c r="V9" s="1072"/>
      <c r="W9" s="1072"/>
      <c r="X9" s="1072"/>
      <c r="Y9" s="1072"/>
      <c r="Z9" s="1072"/>
      <c r="AA9" s="1072"/>
      <c r="AB9" s="1072"/>
      <c r="AC9" s="1072"/>
      <c r="AD9" s="1072"/>
      <c r="AE9" s="1072"/>
      <c r="AF9" s="1072"/>
      <c r="AG9" s="1072"/>
      <c r="AH9" s="1072"/>
      <c r="AI9" s="1072"/>
      <c r="AJ9" s="1072"/>
      <c r="AK9" s="1072"/>
      <c r="AL9" s="1072"/>
      <c r="AM9" s="1072"/>
      <c r="AN9" s="1072"/>
      <c r="AO9" s="1072"/>
      <c r="AP9" s="1072"/>
      <c r="AQ9" s="1072"/>
      <c r="AR9" s="1072"/>
      <c r="AS9" s="1072"/>
      <c r="AT9" s="1072"/>
      <c r="AU9" s="1072"/>
      <c r="AV9" s="1072"/>
      <c r="AW9" s="1072"/>
      <c r="AX9" s="1072"/>
      <c r="AY9" s="1072"/>
      <c r="AZ9" s="1072"/>
      <c r="BA9" s="1072"/>
      <c r="BB9" s="1072"/>
      <c r="BC9" s="1072"/>
      <c r="BD9" s="1072"/>
      <c r="BE9" s="1072"/>
      <c r="BF9" s="1072"/>
      <c r="BG9" s="1072"/>
      <c r="BH9" s="1072"/>
      <c r="BI9" s="1072"/>
      <c r="BJ9" s="1072"/>
      <c r="BK9" s="1072"/>
      <c r="BL9" s="1072"/>
      <c r="BM9" s="1072"/>
      <c r="BN9" s="1072"/>
      <c r="BO9" s="1072"/>
      <c r="BP9" s="1072"/>
      <c r="BQ9" s="1072"/>
      <c r="BR9" s="1072"/>
      <c r="BS9" s="1072"/>
      <c r="BT9" s="1072"/>
      <c r="BU9" s="1072"/>
      <c r="BV9" s="1072"/>
      <c r="BW9" s="1072"/>
      <c r="BX9" s="1072"/>
      <c r="BY9" s="1072"/>
      <c r="BZ9" s="1072"/>
      <c r="CA9" s="1072"/>
      <c r="CB9" s="1072"/>
      <c r="CC9" s="1072"/>
      <c r="CD9" s="1072"/>
      <c r="CE9" s="1072"/>
      <c r="CF9" s="1072"/>
      <c r="CG9" s="1072"/>
      <c r="CH9" s="1072"/>
      <c r="CI9" s="1072"/>
      <c r="CJ9" s="1072"/>
      <c r="CK9" s="1072"/>
      <c r="CL9" s="1072"/>
      <c r="CM9" s="1072"/>
      <c r="CN9" s="1072"/>
      <c r="CO9" s="1072"/>
      <c r="CP9" s="1072"/>
      <c r="CQ9" s="1072"/>
      <c r="CR9" s="1072"/>
      <c r="CS9" s="1072"/>
      <c r="CT9" s="1072"/>
      <c r="CU9" s="1072"/>
      <c r="CV9" s="1072"/>
      <c r="CW9" s="1072"/>
      <c r="CX9" s="1072"/>
      <c r="CY9" s="1072"/>
      <c r="CZ9" s="1072"/>
      <c r="DA9" s="1072"/>
      <c r="DB9" s="1072"/>
      <c r="DC9" s="1072"/>
      <c r="DD9" s="1072"/>
      <c r="DE9" s="1072"/>
      <c r="DF9" s="1072"/>
      <c r="DG9" s="1072"/>
      <c r="DH9" s="1072"/>
      <c r="DI9" s="1072"/>
      <c r="DJ9" s="1072"/>
      <c r="DK9" s="1072"/>
      <c r="DL9" s="1072"/>
      <c r="DM9" s="1072"/>
      <c r="DN9" s="1072"/>
      <c r="DO9" s="1072"/>
      <c r="DP9" s="1072"/>
      <c r="DQ9" s="1072"/>
      <c r="DR9" s="1072"/>
      <c r="DS9" s="1072"/>
      <c r="DT9" s="1072"/>
      <c r="DU9" s="1072"/>
      <c r="DV9" s="1072"/>
      <c r="DW9" s="1072"/>
      <c r="DX9" s="1072"/>
      <c r="DY9" s="1072"/>
      <c r="DZ9" s="1072"/>
      <c r="EA9" s="1072"/>
      <c r="EB9" s="1072"/>
      <c r="EC9" s="1072"/>
      <c r="ED9" s="1072"/>
      <c r="EE9" s="1072"/>
      <c r="EF9" s="1072"/>
      <c r="EG9" s="1072"/>
      <c r="EH9" s="1072"/>
      <c r="EI9" s="1072"/>
      <c r="EJ9" s="1072"/>
      <c r="EK9" s="1072"/>
      <c r="EL9" s="1072"/>
      <c r="EM9" s="1072"/>
      <c r="EN9" s="1072"/>
      <c r="EO9" s="1072"/>
      <c r="EP9" s="1072"/>
      <c r="EQ9" s="1072"/>
      <c r="ER9" s="1072"/>
      <c r="ES9" s="1072"/>
      <c r="ET9" s="1072"/>
      <c r="EU9" s="1072"/>
      <c r="EV9" s="1072"/>
      <c r="EW9" s="1072"/>
      <c r="EX9" s="1072"/>
      <c r="EY9" s="1072"/>
      <c r="EZ9" s="1072"/>
      <c r="FA9" s="1072"/>
      <c r="FB9" s="1072"/>
      <c r="FC9" s="1072"/>
      <c r="FD9" s="1072"/>
      <c r="FE9" s="1072"/>
      <c r="FF9" s="1072"/>
      <c r="FG9" s="1072"/>
      <c r="FH9" s="1072"/>
      <c r="FI9" s="1072"/>
      <c r="FJ9" s="1072"/>
      <c r="FK9" s="1072"/>
      <c r="FL9" s="1072"/>
      <c r="FM9" s="1072"/>
      <c r="FN9" s="1072"/>
      <c r="FO9" s="1072"/>
      <c r="FP9" s="1072"/>
      <c r="FQ9" s="1072"/>
      <c r="FR9" s="1072"/>
      <c r="FS9" s="1072"/>
      <c r="FT9" s="1072"/>
      <c r="FU9" s="1072"/>
      <c r="FV9" s="1072"/>
      <c r="FW9" s="2464"/>
      <c r="FX9" s="1072"/>
      <c r="GC9" s="949">
        <v>0</v>
      </c>
    </row>
    <row s="949" customFormat="1" customHeight="1" ht="11.549999999999999">
      <c r="B10" s="950"/>
      <c r="F10" s="2445" t="s">
        <v>453</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64"/>
      <c r="FX10" s="1072"/>
      <c r="GC10" s="949">
        <v>11</v>
      </c>
    </row>
    <row customHeight="1" ht="12.75">
      <c r="E11" s="953"/>
      <c r="F11" s="2221" t="s">
        <v>91</v>
      </c>
      <c r="G11" s="2221" t="s">
        <v>1226</v>
      </c>
      <c r="H11" s="2453" t="s">
        <v>1227</v>
      </c>
      <c r="I11" s="2453" t="s">
        <v>1228</v>
      </c>
      <c r="J11" s="2454"/>
      <c r="K11" s="2454"/>
      <c r="L11" s="2454"/>
      <c r="M11" s="2454"/>
      <c r="N11" s="2454"/>
      <c r="O11" s="2225" t="s">
        <v>1229</v>
      </c>
      <c r="P11" s="2225"/>
      <c r="Q11" s="2225"/>
      <c r="R11" s="2225"/>
      <c r="S11" s="2225"/>
      <c r="T11" s="2225"/>
      <c r="U11" s="2225"/>
      <c r="V11" s="2225"/>
      <c r="W11" s="2225"/>
      <c r="X11" s="2225"/>
      <c r="Y11" s="2225"/>
      <c r="Z11" s="2225"/>
      <c r="AA11" s="2225"/>
      <c r="AB11" s="2225"/>
      <c r="AC11" s="2450"/>
      <c r="AD11" s="2450"/>
      <c r="AE11" s="2450"/>
      <c r="AF11" s="2450"/>
      <c r="AG11" s="2450"/>
      <c r="AH11" s="2450"/>
      <c r="AI11" s="2450"/>
      <c r="AJ11" s="2450"/>
      <c r="AK11" s="2450"/>
      <c r="AL11" s="2450"/>
      <c r="AM11" s="2450"/>
      <c r="AN11" s="2450"/>
      <c r="AO11" s="2450"/>
      <c r="AP11" s="2450"/>
      <c r="AQ11" s="2450"/>
      <c r="AR11" s="2450"/>
      <c r="AS11" s="2450"/>
      <c r="AT11" s="2450"/>
      <c r="AU11" s="2450"/>
      <c r="AV11" s="2450"/>
      <c r="AW11" s="2450"/>
      <c r="AX11" s="2450"/>
      <c r="AY11" s="2450"/>
      <c r="AZ11" s="2450"/>
      <c r="BA11" s="2450"/>
      <c r="BB11" s="2450"/>
      <c r="BC11" s="2450"/>
      <c r="BD11" s="2450"/>
      <c r="BE11" s="2450"/>
      <c r="BF11" s="2450"/>
      <c r="BG11" s="2450"/>
      <c r="BH11" s="2450"/>
      <c r="BI11" s="2450"/>
      <c r="BJ11" s="2450"/>
      <c r="BK11" s="2450"/>
      <c r="BL11" s="2450"/>
      <c r="BM11" s="2450"/>
      <c r="BN11" s="2450"/>
      <c r="BO11" s="2450"/>
      <c r="BP11" s="2450"/>
      <c r="BQ11" s="2450"/>
      <c r="BR11" s="2450"/>
      <c r="BS11" s="2469"/>
      <c r="BT11" s="2402" t="s">
        <v>1229</v>
      </c>
      <c r="BU11" s="2403"/>
      <c r="BV11" s="2403"/>
      <c r="BW11" s="2403"/>
      <c r="BX11" s="2403"/>
      <c r="BY11" s="2403"/>
      <c r="BZ11" s="2403"/>
      <c r="CA11" s="2403"/>
      <c r="CB11" s="2403"/>
      <c r="CC11" s="2403"/>
      <c r="CD11" s="2403"/>
      <c r="CE11" s="2403"/>
      <c r="CF11" s="2403"/>
      <c r="CG11" s="2403"/>
      <c r="CH11" s="2403"/>
      <c r="CI11" s="2403"/>
      <c r="CJ11" s="2403"/>
      <c r="CK11" s="2449"/>
      <c r="CL11" s="2452"/>
      <c r="CM11" s="2450"/>
      <c r="CN11" s="2450"/>
      <c r="CO11" s="2450"/>
      <c r="CP11" s="2450"/>
      <c r="CQ11" s="2450"/>
      <c r="CR11" s="2450"/>
      <c r="CS11" s="2450"/>
      <c r="CT11" s="2450"/>
      <c r="CU11" s="2450"/>
      <c r="CV11" s="2450"/>
      <c r="CW11" s="2450"/>
      <c r="CX11" s="2469"/>
      <c r="CY11" s="2402" t="s">
        <v>1229</v>
      </c>
      <c r="CZ11" s="2403"/>
      <c r="DA11" s="2403"/>
      <c r="DB11" s="2403"/>
      <c r="DC11" s="2403"/>
      <c r="DD11" s="2403"/>
      <c r="DE11" s="2403"/>
      <c r="DF11" s="2403"/>
      <c r="DG11" s="2403"/>
      <c r="DH11" s="2403"/>
      <c r="DI11" s="2403"/>
      <c r="DJ11" s="2449"/>
      <c r="DK11" s="2452"/>
      <c r="DL11" s="2450"/>
      <c r="DM11" s="2450"/>
      <c r="DN11" s="2450"/>
      <c r="DO11" s="2450"/>
      <c r="DP11" s="2450"/>
      <c r="DQ11" s="2450"/>
      <c r="DR11" s="2450"/>
      <c r="DS11" s="2450"/>
      <c r="DT11" s="2450"/>
      <c r="DU11" s="2450"/>
      <c r="DV11" s="2450"/>
      <c r="DW11" s="2450"/>
      <c r="DX11" s="2450"/>
      <c r="DY11" s="2450"/>
      <c r="DZ11" s="2450"/>
      <c r="EA11" s="2450"/>
      <c r="EB11" s="2450"/>
      <c r="EC11" s="2450"/>
      <c r="ED11" s="2450"/>
      <c r="EE11" s="2450"/>
      <c r="EF11" s="2450"/>
      <c r="EG11" s="2450"/>
      <c r="EH11" s="2450"/>
      <c r="EI11" s="2450"/>
      <c r="EJ11" s="2450"/>
      <c r="EK11" s="2450"/>
      <c r="EL11" s="2450"/>
      <c r="EM11" s="2450"/>
      <c r="EN11" s="2450"/>
      <c r="EO11" s="2450"/>
      <c r="EP11" s="2450"/>
      <c r="EQ11" s="2450"/>
      <c r="ER11" s="2450"/>
      <c r="ES11" s="2450"/>
      <c r="ET11" s="2450"/>
      <c r="EU11" s="2450"/>
      <c r="EV11" s="2450"/>
      <c r="EW11" s="2450"/>
      <c r="EX11" s="2450"/>
      <c r="EY11" s="2450"/>
      <c r="EZ11" s="2450"/>
      <c r="FA11" s="2450"/>
      <c r="FB11" s="2450"/>
      <c r="FC11" s="2450"/>
      <c r="FD11" s="2450"/>
      <c r="FE11" s="2450"/>
      <c r="FF11" s="2450"/>
      <c r="FG11" s="2450"/>
      <c r="FH11" s="2450"/>
      <c r="FI11" s="2450"/>
      <c r="FJ11" s="2450"/>
      <c r="FK11" s="2450"/>
      <c r="FL11" s="2450"/>
      <c r="FM11" s="2450"/>
      <c r="FN11" s="2450"/>
      <c r="FO11" s="2450"/>
      <c r="FP11" s="2450"/>
      <c r="FQ11" s="2450"/>
      <c r="FR11" s="2450"/>
      <c r="FS11" s="2450"/>
      <c r="FT11" s="2450"/>
      <c r="FU11" s="2450"/>
      <c r="FV11" s="2450"/>
      <c r="FW11" s="2464"/>
      <c r="FX11" s="778"/>
      <c r="GC11" s="942">
        <v>12</v>
      </c>
    </row>
    <row customHeight="1" ht="12.75">
      <c r="D12" s="954"/>
      <c r="E12" s="953"/>
      <c r="F12" s="2221"/>
      <c r="G12" s="2221"/>
      <c r="H12" s="2453"/>
      <c r="I12" s="2453"/>
      <c r="J12" s="2454"/>
      <c r="K12" s="2454"/>
      <c r="L12" s="2454"/>
      <c r="M12" s="2454"/>
      <c r="N12" s="2454"/>
      <c r="O12" s="2225" t="s">
        <v>1230</v>
      </c>
      <c r="P12" s="2225"/>
      <c r="Q12" s="2225"/>
      <c r="R12" s="2225"/>
      <c r="S12" s="2225" t="s">
        <v>1231</v>
      </c>
      <c r="T12" s="2225"/>
      <c r="U12" s="2225"/>
      <c r="V12" s="2225"/>
      <c r="W12" s="2225"/>
      <c r="X12" s="2225"/>
      <c r="Y12" s="2225"/>
      <c r="Z12" s="2225"/>
      <c r="AA12" s="2225"/>
      <c r="AB12" s="2225"/>
      <c r="AC12" s="2450"/>
      <c r="AD12" s="2450"/>
      <c r="AE12" s="2450"/>
      <c r="AF12" s="2450"/>
      <c r="AG12" s="2450"/>
      <c r="AH12" s="2450"/>
      <c r="AI12" s="2450"/>
      <c r="AJ12" s="2450"/>
      <c r="AK12" s="2450"/>
      <c r="AL12" s="2450"/>
      <c r="AM12" s="2450"/>
      <c r="AN12" s="2450"/>
      <c r="AO12" s="2450"/>
      <c r="AP12" s="2450"/>
      <c r="AQ12" s="2450"/>
      <c r="AR12" s="2450"/>
      <c r="AS12" s="2450"/>
      <c r="AT12" s="2450"/>
      <c r="AU12" s="2450"/>
      <c r="AV12" s="2450"/>
      <c r="AW12" s="2450"/>
      <c r="AX12" s="2450"/>
      <c r="AY12" s="2450"/>
      <c r="AZ12" s="2450"/>
      <c r="BA12" s="2450"/>
      <c r="BB12" s="2450"/>
      <c r="BC12" s="2450"/>
      <c r="BD12" s="2450"/>
      <c r="BE12" s="2450"/>
      <c r="BF12" s="2450"/>
      <c r="BG12" s="2450"/>
      <c r="BH12" s="2450"/>
      <c r="BI12" s="2450"/>
      <c r="BJ12" s="2450"/>
      <c r="BK12" s="2450"/>
      <c r="BL12" s="2450"/>
      <c r="BM12" s="2450"/>
      <c r="BN12" s="2450"/>
      <c r="BO12" s="2450"/>
      <c r="BP12" s="2450"/>
      <c r="BQ12" s="2450"/>
      <c r="BR12" s="2450"/>
      <c r="BS12" s="2469"/>
      <c r="BT12" s="2402" t="s">
        <v>1232</v>
      </c>
      <c r="BU12" s="2403"/>
      <c r="BV12" s="2403"/>
      <c r="BW12" s="2449"/>
      <c r="BX12" s="2402" t="s">
        <v>1233</v>
      </c>
      <c r="BY12" s="2403"/>
      <c r="BZ12" s="2403"/>
      <c r="CA12" s="2449"/>
      <c r="CB12" s="2402" t="s">
        <v>1234</v>
      </c>
      <c r="CC12" s="2449"/>
      <c r="CD12" s="2402" t="s">
        <v>1235</v>
      </c>
      <c r="CE12" s="2403"/>
      <c r="CF12" s="2403"/>
      <c r="CG12" s="2403"/>
      <c r="CH12" s="2403"/>
      <c r="CI12" s="2403"/>
      <c r="CJ12" s="2403"/>
      <c r="CK12" s="2449"/>
      <c r="CL12" s="2452"/>
      <c r="CM12" s="2450"/>
      <c r="CN12" s="2450"/>
      <c r="CO12" s="2450"/>
      <c r="CP12" s="2450"/>
      <c r="CQ12" s="2450"/>
      <c r="CR12" s="2450"/>
      <c r="CS12" s="2450"/>
      <c r="CT12" s="2450"/>
      <c r="CU12" s="2450"/>
      <c r="CV12" s="2450"/>
      <c r="CW12" s="2450"/>
      <c r="CX12" s="2469"/>
      <c r="CY12" s="2402" t="s">
        <v>1236</v>
      </c>
      <c r="CZ12" s="2403"/>
      <c r="DA12" s="2403"/>
      <c r="DB12" s="2403"/>
      <c r="DC12" s="2403"/>
      <c r="DD12" s="2449"/>
      <c r="DE12" s="2402" t="s">
        <v>1237</v>
      </c>
      <c r="DF12" s="2449"/>
      <c r="DG12" s="2402" t="s">
        <v>1235</v>
      </c>
      <c r="DH12" s="2403"/>
      <c r="DI12" s="2403"/>
      <c r="DJ12" s="2449"/>
      <c r="DK12" s="2452"/>
      <c r="DL12" s="2450"/>
      <c r="DM12" s="2450"/>
      <c r="DN12" s="2450"/>
      <c r="DO12" s="2450"/>
      <c r="DP12" s="2450"/>
      <c r="DQ12" s="2450"/>
      <c r="DR12" s="2450"/>
      <c r="DS12" s="2450"/>
      <c r="DT12" s="2450"/>
      <c r="DU12" s="2450"/>
      <c r="DV12" s="2450"/>
      <c r="DW12" s="2450"/>
      <c r="DX12" s="2450"/>
      <c r="DY12" s="2450"/>
      <c r="DZ12" s="2450"/>
      <c r="EA12" s="2450"/>
      <c r="EB12" s="2450"/>
      <c r="EC12" s="2450"/>
      <c r="ED12" s="2450"/>
      <c r="EE12" s="2450"/>
      <c r="EF12" s="2450"/>
      <c r="EG12" s="2450"/>
      <c r="EH12" s="2450"/>
      <c r="EI12" s="2450"/>
      <c r="EJ12" s="2450"/>
      <c r="EK12" s="2450"/>
      <c r="EL12" s="2450"/>
      <c r="EM12" s="2450"/>
      <c r="EN12" s="2450"/>
      <c r="EO12" s="2450"/>
      <c r="EP12" s="2450"/>
      <c r="EQ12" s="2450"/>
      <c r="ER12" s="2450"/>
      <c r="ES12" s="2450"/>
      <c r="ET12" s="2450"/>
      <c r="EU12" s="2450"/>
      <c r="EV12" s="2450"/>
      <c r="EW12" s="2450"/>
      <c r="EX12" s="2450"/>
      <c r="EY12" s="2450"/>
      <c r="EZ12" s="2450"/>
      <c r="FA12" s="2450"/>
      <c r="FB12" s="2450"/>
      <c r="FC12" s="2450"/>
      <c r="FD12" s="2450"/>
      <c r="FE12" s="2450"/>
      <c r="FF12" s="2450"/>
      <c r="FG12" s="2450"/>
      <c r="FH12" s="2450"/>
      <c r="FI12" s="2450"/>
      <c r="FJ12" s="2450"/>
      <c r="FK12" s="2450"/>
      <c r="FL12" s="2450"/>
      <c r="FM12" s="2450"/>
      <c r="FN12" s="2450"/>
      <c r="FO12" s="2450"/>
      <c r="FP12" s="2450"/>
      <c r="FQ12" s="2450"/>
      <c r="FR12" s="2450"/>
      <c r="FS12" s="2450"/>
      <c r="FT12" s="2450"/>
      <c r="FU12" s="2450"/>
      <c r="FV12" s="2450"/>
      <c r="FW12" s="2464"/>
      <c r="FX12" s="778"/>
      <c r="GC12" s="942">
        <v>12</v>
      </c>
    </row>
    <row customHeight="1" ht="37.8">
      <c r="D13" s="954"/>
      <c r="E13" s="953"/>
      <c r="F13" s="2221"/>
      <c r="G13" s="2221"/>
      <c r="H13" s="2453"/>
      <c r="I13" s="2453"/>
      <c r="J13" s="2454"/>
      <c r="K13" s="2454"/>
      <c r="L13" s="2454"/>
      <c r="M13" s="2454"/>
      <c r="N13" s="2454"/>
      <c r="O13" s="2225" t="s">
        <v>1238</v>
      </c>
      <c r="P13" s="2225"/>
      <c r="Q13" s="2225"/>
      <c r="R13" s="2225"/>
      <c r="S13" s="2352" t="s">
        <v>1239</v>
      </c>
      <c r="T13" s="2404"/>
      <c r="U13" s="2143" t="s">
        <v>1240</v>
      </c>
      <c r="V13" s="2143"/>
      <c r="W13" s="2143"/>
      <c r="X13" s="2143"/>
      <c r="Y13" s="2143" t="s">
        <v>1241</v>
      </c>
      <c r="Z13" s="2143"/>
      <c r="AA13" s="2143"/>
      <c r="AB13" s="2143"/>
      <c r="AC13" s="2450"/>
      <c r="AD13" s="2450"/>
      <c r="AE13" s="2450"/>
      <c r="AF13" s="2450"/>
      <c r="AG13" s="2450"/>
      <c r="AH13" s="2450"/>
      <c r="AI13" s="2450"/>
      <c r="AJ13" s="2450"/>
      <c r="AK13" s="2450"/>
      <c r="AL13" s="2450"/>
      <c r="AM13" s="2450"/>
      <c r="AN13" s="2450"/>
      <c r="AO13" s="2450"/>
      <c r="AP13" s="2450"/>
      <c r="AQ13" s="2450"/>
      <c r="AR13" s="2450"/>
      <c r="AS13" s="2450"/>
      <c r="AT13" s="2450"/>
      <c r="AU13" s="2450"/>
      <c r="AV13" s="2450"/>
      <c r="AW13" s="2450"/>
      <c r="AX13" s="2450"/>
      <c r="AY13" s="2450"/>
      <c r="AZ13" s="2450"/>
      <c r="BA13" s="2450"/>
      <c r="BB13" s="2450"/>
      <c r="BC13" s="2450"/>
      <c r="BD13" s="2450"/>
      <c r="BE13" s="2450"/>
      <c r="BF13" s="2450"/>
      <c r="BG13" s="2450"/>
      <c r="BH13" s="2450"/>
      <c r="BI13" s="2450"/>
      <c r="BJ13" s="2450"/>
      <c r="BK13" s="2450"/>
      <c r="BL13" s="2450"/>
      <c r="BM13" s="2450"/>
      <c r="BN13" s="2450"/>
      <c r="BO13" s="2450"/>
      <c r="BP13" s="2450"/>
      <c r="BQ13" s="2450"/>
      <c r="BR13" s="2450"/>
      <c r="BS13" s="2469"/>
      <c r="BT13" s="2352" t="s">
        <v>1242</v>
      </c>
      <c r="BU13" s="2404"/>
      <c r="BV13" s="2352" t="s">
        <v>1243</v>
      </c>
      <c r="BW13" s="2404"/>
      <c r="BX13" s="2352" t="s">
        <v>1244</v>
      </c>
      <c r="BY13" s="2404"/>
      <c r="BZ13" s="2352" t="s">
        <v>1245</v>
      </c>
      <c r="CA13" s="2404"/>
      <c r="CB13" s="2352" t="s">
        <v>1246</v>
      </c>
      <c r="CC13" s="2404"/>
      <c r="CD13" s="2352" t="s">
        <v>1247</v>
      </c>
      <c r="CE13" s="2404"/>
      <c r="CF13" s="2352" t="s">
        <v>1248</v>
      </c>
      <c r="CG13" s="2404"/>
      <c r="CH13" s="2402" t="s">
        <v>1249</v>
      </c>
      <c r="CI13" s="2403"/>
      <c r="CJ13" s="2403"/>
      <c r="CK13" s="2449"/>
      <c r="CL13" s="2452"/>
      <c r="CM13" s="2450"/>
      <c r="CN13" s="2450"/>
      <c r="CO13" s="2450"/>
      <c r="CP13" s="2450"/>
      <c r="CQ13" s="2450"/>
      <c r="CR13" s="2450"/>
      <c r="CS13" s="2450"/>
      <c r="CT13" s="2450"/>
      <c r="CU13" s="2450"/>
      <c r="CV13" s="2450"/>
      <c r="CW13" s="2450"/>
      <c r="CX13" s="2469"/>
      <c r="CY13" s="2352" t="s">
        <v>1250</v>
      </c>
      <c r="CZ13" s="2404"/>
      <c r="DA13" s="2352" t="s">
        <v>1251</v>
      </c>
      <c r="DB13" s="2404"/>
      <c r="DC13" s="2352" t="s">
        <v>1252</v>
      </c>
      <c r="DD13" s="2404"/>
      <c r="DE13" s="2352" t="s">
        <v>1253</v>
      </c>
      <c r="DF13" s="2404"/>
      <c r="DG13" s="2402" t="s">
        <v>1254</v>
      </c>
      <c r="DH13" s="2403"/>
      <c r="DI13" s="2403"/>
      <c r="DJ13" s="2449"/>
      <c r="DK13" s="2452"/>
      <c r="DL13" s="2450"/>
      <c r="DM13" s="2450"/>
      <c r="DN13" s="2450"/>
      <c r="DO13" s="2450"/>
      <c r="DP13" s="2450"/>
      <c r="DQ13" s="2450"/>
      <c r="DR13" s="2450"/>
      <c r="DS13" s="2450"/>
      <c r="DT13" s="2450"/>
      <c r="DU13" s="2450"/>
      <c r="DV13" s="2450"/>
      <c r="DW13" s="2450"/>
      <c r="DX13" s="2450"/>
      <c r="DY13" s="2450"/>
      <c r="DZ13" s="2450"/>
      <c r="EA13" s="2450"/>
      <c r="EB13" s="2450"/>
      <c r="EC13" s="2450"/>
      <c r="ED13" s="2450"/>
      <c r="EE13" s="2450"/>
      <c r="EF13" s="2450"/>
      <c r="EG13" s="2450"/>
      <c r="EH13" s="2450"/>
      <c r="EI13" s="2450"/>
      <c r="EJ13" s="2450"/>
      <c r="EK13" s="2450"/>
      <c r="EL13" s="2450"/>
      <c r="EM13" s="2450"/>
      <c r="EN13" s="2450"/>
      <c r="EO13" s="2450"/>
      <c r="EP13" s="2450"/>
      <c r="EQ13" s="2450"/>
      <c r="ER13" s="2450"/>
      <c r="ES13" s="2450"/>
      <c r="ET13" s="2450"/>
      <c r="EU13" s="2450"/>
      <c r="EV13" s="2450"/>
      <c r="EW13" s="2450"/>
      <c r="EX13" s="2450"/>
      <c r="EY13" s="2450"/>
      <c r="EZ13" s="2450"/>
      <c r="FA13" s="2450"/>
      <c r="FB13" s="2450"/>
      <c r="FC13" s="2450"/>
      <c r="FD13" s="2450"/>
      <c r="FE13" s="2450"/>
      <c r="FF13" s="2450"/>
      <c r="FG13" s="2450"/>
      <c r="FH13" s="2450"/>
      <c r="FI13" s="2450"/>
      <c r="FJ13" s="2450"/>
      <c r="FK13" s="2450"/>
      <c r="FL13" s="2450"/>
      <c r="FM13" s="2450"/>
      <c r="FN13" s="2450"/>
      <c r="FO13" s="2450"/>
      <c r="FP13" s="2450"/>
      <c r="FQ13" s="2450"/>
      <c r="FR13" s="2450"/>
      <c r="FS13" s="2450"/>
      <c r="FT13" s="2450"/>
      <c r="FU13" s="2450"/>
      <c r="FV13" s="2450"/>
      <c r="FW13" s="2464"/>
      <c r="FX13" s="778"/>
      <c r="GC13" s="942">
        <v>36</v>
      </c>
    </row>
    <row customHeight="1" ht="37.8">
      <c r="D14" s="954"/>
      <c r="E14" s="953"/>
      <c r="F14" s="2221"/>
      <c r="G14" s="2221"/>
      <c r="H14" s="2453"/>
      <c r="I14" s="2453"/>
      <c r="J14" s="2454"/>
      <c r="K14" s="2454"/>
      <c r="L14" s="2454"/>
      <c r="M14" s="2454"/>
      <c r="N14" s="2454"/>
      <c r="O14" s="2352" t="s">
        <v>1255</v>
      </c>
      <c r="P14" s="2404"/>
      <c r="Q14" s="2352" t="s">
        <v>1256</v>
      </c>
      <c r="R14" s="2404"/>
      <c r="S14" s="2353"/>
      <c r="T14" s="2229"/>
      <c r="U14" s="2352" t="s">
        <v>988</v>
      </c>
      <c r="V14" s="2404"/>
      <c r="W14" s="2352" t="s">
        <v>991</v>
      </c>
      <c r="X14" s="2404"/>
      <c r="Y14" s="2352" t="s">
        <v>988</v>
      </c>
      <c r="Z14" s="2404"/>
      <c r="AA14" s="2352" t="s">
        <v>998</v>
      </c>
      <c r="AB14" s="2404"/>
      <c r="AC14" s="2450"/>
      <c r="AD14" s="2450"/>
      <c r="AE14" s="2450"/>
      <c r="AF14" s="2450"/>
      <c r="AG14" s="2450"/>
      <c r="AH14" s="2450"/>
      <c r="AI14" s="2450"/>
      <c r="AJ14" s="2450"/>
      <c r="AK14" s="2450"/>
      <c r="AL14" s="2450"/>
      <c r="AM14" s="2450"/>
      <c r="AN14" s="2450"/>
      <c r="AO14" s="2450"/>
      <c r="AP14" s="2450"/>
      <c r="AQ14" s="2450"/>
      <c r="AR14" s="2450"/>
      <c r="AS14" s="2450"/>
      <c r="AT14" s="2450"/>
      <c r="AU14" s="2450"/>
      <c r="AV14" s="2450"/>
      <c r="AW14" s="2450"/>
      <c r="AX14" s="2450"/>
      <c r="AY14" s="2450"/>
      <c r="AZ14" s="2450"/>
      <c r="BA14" s="2450"/>
      <c r="BB14" s="2450"/>
      <c r="BC14" s="2450"/>
      <c r="BD14" s="2450"/>
      <c r="BE14" s="2450"/>
      <c r="BF14" s="2450"/>
      <c r="BG14" s="2450"/>
      <c r="BH14" s="2450"/>
      <c r="BI14" s="2450"/>
      <c r="BJ14" s="2450"/>
      <c r="BK14" s="2450"/>
      <c r="BL14" s="2450"/>
      <c r="BM14" s="2450"/>
      <c r="BN14" s="2450"/>
      <c r="BO14" s="2450"/>
      <c r="BP14" s="2450"/>
      <c r="BQ14" s="2450"/>
      <c r="BR14" s="2450"/>
      <c r="BS14" s="2469"/>
      <c r="BT14" s="2353"/>
      <c r="BU14" s="2229"/>
      <c r="BV14" s="2353"/>
      <c r="BW14" s="2229"/>
      <c r="BX14" s="2353"/>
      <c r="BY14" s="2229"/>
      <c r="BZ14" s="2353"/>
      <c r="CA14" s="2229"/>
      <c r="CB14" s="2353"/>
      <c r="CC14" s="2229"/>
      <c r="CD14" s="2353"/>
      <c r="CE14" s="2229"/>
      <c r="CF14" s="2353"/>
      <c r="CG14" s="2229"/>
      <c r="CH14" s="2352" t="s">
        <v>1257</v>
      </c>
      <c r="CI14" s="2404"/>
      <c r="CJ14" s="2352" t="s">
        <v>1258</v>
      </c>
      <c r="CK14" s="2404"/>
      <c r="CL14" s="2452"/>
      <c r="CM14" s="2450"/>
      <c r="CN14" s="2450"/>
      <c r="CO14" s="2450"/>
      <c r="CP14" s="2450"/>
      <c r="CQ14" s="2450"/>
      <c r="CR14" s="2450"/>
      <c r="CS14" s="2450"/>
      <c r="CT14" s="2450"/>
      <c r="CU14" s="2450"/>
      <c r="CV14" s="2450"/>
      <c r="CW14" s="2450"/>
      <c r="CX14" s="2469"/>
      <c r="CY14" s="2353"/>
      <c r="CZ14" s="2229"/>
      <c r="DA14" s="2353"/>
      <c r="DB14" s="2229"/>
      <c r="DC14" s="2353"/>
      <c r="DD14" s="2229"/>
      <c r="DE14" s="2353"/>
      <c r="DF14" s="2229"/>
      <c r="DG14" s="2352" t="s">
        <v>1259</v>
      </c>
      <c r="DH14" s="2404"/>
      <c r="DI14" s="2352" t="s">
        <v>1260</v>
      </c>
      <c r="DJ14" s="2404"/>
      <c r="DK14" s="2452"/>
      <c r="DL14" s="2450"/>
      <c r="DM14" s="2450"/>
      <c r="DN14" s="2450"/>
      <c r="DO14" s="2450"/>
      <c r="DP14" s="2450"/>
      <c r="DQ14" s="2450"/>
      <c r="DR14" s="2450"/>
      <c r="DS14" s="2450"/>
      <c r="DT14" s="2450"/>
      <c r="DU14" s="2450"/>
      <c r="DV14" s="2450"/>
      <c r="DW14" s="2450"/>
      <c r="DX14" s="2450"/>
      <c r="DY14" s="2450"/>
      <c r="DZ14" s="2450"/>
      <c r="EA14" s="2450"/>
      <c r="EB14" s="2450"/>
      <c r="EC14" s="2450"/>
      <c r="ED14" s="2450"/>
      <c r="EE14" s="2450"/>
      <c r="EF14" s="2450"/>
      <c r="EG14" s="2450"/>
      <c r="EH14" s="2450"/>
      <c r="EI14" s="2450"/>
      <c r="EJ14" s="2450"/>
      <c r="EK14" s="2450"/>
      <c r="EL14" s="2450"/>
      <c r="EM14" s="2450"/>
      <c r="EN14" s="2450"/>
      <c r="EO14" s="2450"/>
      <c r="EP14" s="2450"/>
      <c r="EQ14" s="2450"/>
      <c r="ER14" s="2450"/>
      <c r="ES14" s="2450"/>
      <c r="ET14" s="2450"/>
      <c r="EU14" s="2450"/>
      <c r="EV14" s="2450"/>
      <c r="EW14" s="2450"/>
      <c r="EX14" s="2450"/>
      <c r="EY14" s="2450"/>
      <c r="EZ14" s="2450"/>
      <c r="FA14" s="2450"/>
      <c r="FB14" s="2450"/>
      <c r="FC14" s="2450"/>
      <c r="FD14" s="2450"/>
      <c r="FE14" s="2450"/>
      <c r="FF14" s="2450"/>
      <c r="FG14" s="2450"/>
      <c r="FH14" s="2450"/>
      <c r="FI14" s="2450"/>
      <c r="FJ14" s="2450"/>
      <c r="FK14" s="2450"/>
      <c r="FL14" s="2450"/>
      <c r="FM14" s="2450"/>
      <c r="FN14" s="2450"/>
      <c r="FO14" s="2450"/>
      <c r="FP14" s="2450"/>
      <c r="FQ14" s="2450"/>
      <c r="FR14" s="2450"/>
      <c r="FS14" s="2450"/>
      <c r="FT14" s="2450"/>
      <c r="FU14" s="2450"/>
      <c r="FV14" s="2450"/>
      <c r="FW14" s="2464"/>
      <c r="FX14" s="778"/>
      <c r="GC14" s="942">
        <v>36</v>
      </c>
    </row>
    <row customHeight="1" ht="37.8">
      <c r="D15" s="954"/>
      <c r="E15" s="953"/>
      <c r="F15" s="2221"/>
      <c r="G15" s="2221"/>
      <c r="H15" s="2453"/>
      <c r="I15" s="2453"/>
      <c r="J15" s="2454"/>
      <c r="K15" s="2454"/>
      <c r="L15" s="2454"/>
      <c r="M15" s="2454"/>
      <c r="N15" s="2454"/>
      <c r="O15" s="2354"/>
      <c r="P15" s="2451"/>
      <c r="Q15" s="2354"/>
      <c r="R15" s="2451"/>
      <c r="S15" s="2354"/>
      <c r="T15" s="2451"/>
      <c r="U15" s="2354"/>
      <c r="V15" s="2451"/>
      <c r="W15" s="2354"/>
      <c r="X15" s="2451"/>
      <c r="Y15" s="2354"/>
      <c r="Z15" s="2451"/>
      <c r="AA15" s="2354"/>
      <c r="AB15" s="2451"/>
      <c r="AC15" s="2450"/>
      <c r="AD15" s="2450"/>
      <c r="AE15" s="2450"/>
      <c r="AF15" s="2450"/>
      <c r="AG15" s="2450"/>
      <c r="AH15" s="2450"/>
      <c r="AI15" s="2450"/>
      <c r="AJ15" s="2450"/>
      <c r="AK15" s="2450"/>
      <c r="AL15" s="2450"/>
      <c r="AM15" s="2450"/>
      <c r="AN15" s="2450"/>
      <c r="AO15" s="2450"/>
      <c r="AP15" s="2450"/>
      <c r="AQ15" s="2450"/>
      <c r="AR15" s="2450"/>
      <c r="AS15" s="2450"/>
      <c r="AT15" s="2450"/>
      <c r="AU15" s="2450"/>
      <c r="AV15" s="2450"/>
      <c r="AW15" s="2450"/>
      <c r="AX15" s="2450"/>
      <c r="AY15" s="2450"/>
      <c r="AZ15" s="2450"/>
      <c r="BA15" s="2450"/>
      <c r="BB15" s="2450"/>
      <c r="BC15" s="2450"/>
      <c r="BD15" s="2450"/>
      <c r="BE15" s="2450"/>
      <c r="BF15" s="2450"/>
      <c r="BG15" s="2450"/>
      <c r="BH15" s="2450"/>
      <c r="BI15" s="2450"/>
      <c r="BJ15" s="2450"/>
      <c r="BK15" s="2450"/>
      <c r="BL15" s="2450"/>
      <c r="BM15" s="2450"/>
      <c r="BN15" s="2450"/>
      <c r="BO15" s="2450"/>
      <c r="BP15" s="2450"/>
      <c r="BQ15" s="2450"/>
      <c r="BR15" s="2450"/>
      <c r="BS15" s="2469"/>
      <c r="BT15" s="2354"/>
      <c r="BU15" s="2451"/>
      <c r="BV15" s="2354"/>
      <c r="BW15" s="2451"/>
      <c r="BX15" s="2354"/>
      <c r="BY15" s="2451"/>
      <c r="BZ15" s="2354"/>
      <c r="CA15" s="2451"/>
      <c r="CB15" s="2354"/>
      <c r="CC15" s="2451"/>
      <c r="CD15" s="2354"/>
      <c r="CE15" s="2451"/>
      <c r="CF15" s="2354"/>
      <c r="CG15" s="2451"/>
      <c r="CH15" s="2354"/>
      <c r="CI15" s="2451"/>
      <c r="CJ15" s="2354"/>
      <c r="CK15" s="2451"/>
      <c r="CL15" s="2452"/>
      <c r="CM15" s="2450"/>
      <c r="CN15" s="2450"/>
      <c r="CO15" s="2450"/>
      <c r="CP15" s="2450"/>
      <c r="CQ15" s="2450"/>
      <c r="CR15" s="2450"/>
      <c r="CS15" s="2450"/>
      <c r="CT15" s="2450"/>
      <c r="CU15" s="2450"/>
      <c r="CV15" s="2450"/>
      <c r="CW15" s="2450"/>
      <c r="CX15" s="2469"/>
      <c r="CY15" s="2354"/>
      <c r="CZ15" s="2451"/>
      <c r="DA15" s="2354"/>
      <c r="DB15" s="2451"/>
      <c r="DC15" s="2354"/>
      <c r="DD15" s="2451"/>
      <c r="DE15" s="2354"/>
      <c r="DF15" s="2451"/>
      <c r="DG15" s="2354"/>
      <c r="DH15" s="2451"/>
      <c r="DI15" s="2354"/>
      <c r="DJ15" s="2451"/>
      <c r="DK15" s="2452"/>
      <c r="DL15" s="2450"/>
      <c r="DM15" s="2450"/>
      <c r="DN15" s="2450"/>
      <c r="DO15" s="2450"/>
      <c r="DP15" s="2450"/>
      <c r="DQ15" s="2450"/>
      <c r="DR15" s="2450"/>
      <c r="DS15" s="2450"/>
      <c r="DT15" s="2450"/>
      <c r="DU15" s="2450"/>
      <c r="DV15" s="2450"/>
      <c r="DW15" s="2450"/>
      <c r="DX15" s="2450"/>
      <c r="DY15" s="2450"/>
      <c r="DZ15" s="2450"/>
      <c r="EA15" s="2450"/>
      <c r="EB15" s="2450"/>
      <c r="EC15" s="2450"/>
      <c r="ED15" s="2450"/>
      <c r="EE15" s="2450"/>
      <c r="EF15" s="2450"/>
      <c r="EG15" s="2450"/>
      <c r="EH15" s="2450"/>
      <c r="EI15" s="2450"/>
      <c r="EJ15" s="2450"/>
      <c r="EK15" s="2450"/>
      <c r="EL15" s="2450"/>
      <c r="EM15" s="2450"/>
      <c r="EN15" s="2450"/>
      <c r="EO15" s="2450"/>
      <c r="EP15" s="2450"/>
      <c r="EQ15" s="2450"/>
      <c r="ER15" s="2450"/>
      <c r="ES15" s="2450"/>
      <c r="ET15" s="2450"/>
      <c r="EU15" s="2450"/>
      <c r="EV15" s="2450"/>
      <c r="EW15" s="2450"/>
      <c r="EX15" s="2450"/>
      <c r="EY15" s="2450"/>
      <c r="EZ15" s="2450"/>
      <c r="FA15" s="2450"/>
      <c r="FB15" s="2450"/>
      <c r="FC15" s="2450"/>
      <c r="FD15" s="2450"/>
      <c r="FE15" s="2450"/>
      <c r="FF15" s="2450"/>
      <c r="FG15" s="2450"/>
      <c r="FH15" s="2450"/>
      <c r="FI15" s="2450"/>
      <c r="FJ15" s="2450"/>
      <c r="FK15" s="2450"/>
      <c r="FL15" s="2450"/>
      <c r="FM15" s="2450"/>
      <c r="FN15" s="2450"/>
      <c r="FO15" s="2450"/>
      <c r="FP15" s="2450"/>
      <c r="FQ15" s="2450"/>
      <c r="FR15" s="2450"/>
      <c r="FS15" s="2450"/>
      <c r="FT15" s="2450"/>
      <c r="FU15" s="2450"/>
      <c r="FV15" s="2450"/>
      <c r="FW15" s="2464"/>
      <c r="FX15" s="778"/>
      <c r="GC15" s="942">
        <v>36</v>
      </c>
    </row>
    <row customHeight="1" ht="12.75">
      <c r="D16" s="954"/>
      <c r="E16" s="953"/>
      <c r="F16" s="2221"/>
      <c r="G16" s="2221"/>
      <c r="H16" s="2453"/>
      <c r="I16" s="2453"/>
      <c r="J16" s="2454"/>
      <c r="K16" s="2454"/>
      <c r="L16" s="2454"/>
      <c r="M16" s="2454"/>
      <c r="N16" s="2454"/>
      <c r="O16" s="2402" t="s">
        <v>978</v>
      </c>
      <c r="P16" s="2449"/>
      <c r="Q16" s="2402" t="s">
        <v>980</v>
      </c>
      <c r="R16" s="2449"/>
      <c r="S16" s="2402" t="s">
        <v>984</v>
      </c>
      <c r="T16" s="2449"/>
      <c r="U16" s="2402" t="s">
        <v>989</v>
      </c>
      <c r="V16" s="2449"/>
      <c r="W16" s="2402" t="s">
        <v>992</v>
      </c>
      <c r="X16" s="2449"/>
      <c r="Y16" s="2402" t="s">
        <v>996</v>
      </c>
      <c r="Z16" s="2449"/>
      <c r="AA16" s="2402" t="s">
        <v>999</v>
      </c>
      <c r="AB16" s="2449"/>
      <c r="AC16" s="2450"/>
      <c r="AD16" s="2450"/>
      <c r="AE16" s="2450"/>
      <c r="AF16" s="2450"/>
      <c r="AG16" s="2450"/>
      <c r="AH16" s="2450"/>
      <c r="AI16" s="2450"/>
      <c r="AJ16" s="2450"/>
      <c r="AK16" s="2450"/>
      <c r="AL16" s="2450"/>
      <c r="AM16" s="2450"/>
      <c r="AN16" s="2450"/>
      <c r="AO16" s="2450"/>
      <c r="AP16" s="2450"/>
      <c r="AQ16" s="2450"/>
      <c r="AR16" s="2450"/>
      <c r="AS16" s="2450"/>
      <c r="AT16" s="2450"/>
      <c r="AU16" s="2450"/>
      <c r="AV16" s="2450"/>
      <c r="AW16" s="2450"/>
      <c r="AX16" s="2450"/>
      <c r="AY16" s="2450"/>
      <c r="AZ16" s="2450"/>
      <c r="BA16" s="2450"/>
      <c r="BB16" s="2450"/>
      <c r="BC16" s="2450"/>
      <c r="BD16" s="2450"/>
      <c r="BE16" s="2450"/>
      <c r="BF16" s="2450"/>
      <c r="BG16" s="2450"/>
      <c r="BH16" s="2450"/>
      <c r="BI16" s="2450"/>
      <c r="BJ16" s="2450"/>
      <c r="BK16" s="2450"/>
      <c r="BL16" s="2450"/>
      <c r="BM16" s="2450"/>
      <c r="BN16" s="2450"/>
      <c r="BO16" s="2450"/>
      <c r="BP16" s="2450"/>
      <c r="BQ16" s="2450"/>
      <c r="BR16" s="2450"/>
      <c r="BS16" s="2469"/>
      <c r="BT16" s="2402" t="s">
        <v>711</v>
      </c>
      <c r="BU16" s="2449"/>
      <c r="BV16" s="2402" t="s">
        <v>711</v>
      </c>
      <c r="BW16" s="2449"/>
      <c r="BX16" s="2402" t="s">
        <v>711</v>
      </c>
      <c r="BY16" s="2449"/>
      <c r="BZ16" s="2402" t="s">
        <v>711</v>
      </c>
      <c r="CA16" s="2449"/>
      <c r="CB16" s="2402" t="s">
        <v>1261</v>
      </c>
      <c r="CC16" s="2449"/>
      <c r="CD16" s="2402" t="s">
        <v>711</v>
      </c>
      <c r="CE16" s="2449"/>
      <c r="CF16" s="2402" t="s">
        <v>1262</v>
      </c>
      <c r="CG16" s="2449"/>
      <c r="CH16" s="2402" t="s">
        <v>1263</v>
      </c>
      <c r="CI16" s="2449"/>
      <c r="CJ16" s="2402" t="s">
        <v>1263</v>
      </c>
      <c r="CK16" s="2449"/>
      <c r="CL16" s="2452"/>
      <c r="CM16" s="2450"/>
      <c r="CN16" s="2450"/>
      <c r="CO16" s="2450"/>
      <c r="CP16" s="2450"/>
      <c r="CQ16" s="2450"/>
      <c r="CR16" s="2450"/>
      <c r="CS16" s="2450"/>
      <c r="CT16" s="2450"/>
      <c r="CU16" s="2450"/>
      <c r="CV16" s="2450"/>
      <c r="CW16" s="2450"/>
      <c r="CX16" s="2469"/>
      <c r="CY16" s="2352" t="s">
        <v>711</v>
      </c>
      <c r="CZ16" s="2404"/>
      <c r="DA16" s="2352" t="s">
        <v>711</v>
      </c>
      <c r="DB16" s="2404"/>
      <c r="DC16" s="2352" t="s">
        <v>711</v>
      </c>
      <c r="DD16" s="2404"/>
      <c r="DE16" s="2402" t="s">
        <v>1261</v>
      </c>
      <c r="DF16" s="2449"/>
      <c r="DG16" s="2402" t="s">
        <v>1264</v>
      </c>
      <c r="DH16" s="2449"/>
      <c r="DI16" s="2402" t="s">
        <v>1264</v>
      </c>
      <c r="DJ16" s="2449"/>
      <c r="DK16" s="2452"/>
      <c r="DL16" s="2450"/>
      <c r="DM16" s="2450"/>
      <c r="DN16" s="2450"/>
      <c r="DO16" s="2450"/>
      <c r="DP16" s="2450"/>
      <c r="DQ16" s="2450"/>
      <c r="DR16" s="2450"/>
      <c r="DS16" s="2450"/>
      <c r="DT16" s="2450"/>
      <c r="DU16" s="2450"/>
      <c r="DV16" s="2450"/>
      <c r="DW16" s="2450"/>
      <c r="DX16" s="2450"/>
      <c r="DY16" s="2450"/>
      <c r="DZ16" s="2450"/>
      <c r="EA16" s="2450"/>
      <c r="EB16" s="2450"/>
      <c r="EC16" s="2450"/>
      <c r="ED16" s="2450"/>
      <c r="EE16" s="2450"/>
      <c r="EF16" s="2450"/>
      <c r="EG16" s="2450"/>
      <c r="EH16" s="2450"/>
      <c r="EI16" s="2450"/>
      <c r="EJ16" s="2450"/>
      <c r="EK16" s="2450"/>
      <c r="EL16" s="2450"/>
      <c r="EM16" s="2450"/>
      <c r="EN16" s="2450"/>
      <c r="EO16" s="2450"/>
      <c r="EP16" s="2450"/>
      <c r="EQ16" s="2450"/>
      <c r="ER16" s="2450"/>
      <c r="ES16" s="2450"/>
      <c r="ET16" s="2450"/>
      <c r="EU16" s="2450"/>
      <c r="EV16" s="2450"/>
      <c r="EW16" s="2450"/>
      <c r="EX16" s="2450"/>
      <c r="EY16" s="2450"/>
      <c r="EZ16" s="2450"/>
      <c r="FA16" s="2450"/>
      <c r="FB16" s="2450"/>
      <c r="FC16" s="2450"/>
      <c r="FD16" s="2450"/>
      <c r="FE16" s="2450"/>
      <c r="FF16" s="2450"/>
      <c r="FG16" s="2450"/>
      <c r="FH16" s="2450"/>
      <c r="FI16" s="2450"/>
      <c r="FJ16" s="2450"/>
      <c r="FK16" s="2450"/>
      <c r="FL16" s="2450"/>
      <c r="FM16" s="2450"/>
      <c r="FN16" s="2450"/>
      <c r="FO16" s="2450"/>
      <c r="FP16" s="2450"/>
      <c r="FQ16" s="2450"/>
      <c r="FR16" s="2450"/>
      <c r="FS16" s="2450"/>
      <c r="FT16" s="2450"/>
      <c r="FU16" s="2450"/>
      <c r="FV16" s="2450"/>
      <c r="FW16" s="2464"/>
      <c r="FX16" s="778"/>
      <c r="GC16" s="942">
        <v>12</v>
      </c>
    </row>
    <row customHeight="1" ht="15.75">
      <c r="E17" s="953"/>
      <c r="F17" s="2221"/>
      <c r="G17" s="2221"/>
      <c r="H17" s="2453"/>
      <c r="I17" s="2453"/>
      <c r="J17" s="2454"/>
      <c r="K17" s="2454"/>
      <c r="L17" s="2454"/>
      <c r="M17" s="2454"/>
      <c r="N17" s="2454"/>
      <c r="O17" s="1207" t="s">
        <v>1265</v>
      </c>
      <c r="P17" s="1207" t="s">
        <v>1266</v>
      </c>
      <c r="Q17" s="1207" t="s">
        <v>1265</v>
      </c>
      <c r="R17" s="1207" t="s">
        <v>1266</v>
      </c>
      <c r="S17" s="1207" t="s">
        <v>1265</v>
      </c>
      <c r="T17" s="1207" t="s">
        <v>1266</v>
      </c>
      <c r="U17" s="1207" t="s">
        <v>1265</v>
      </c>
      <c r="V17" s="1207" t="s">
        <v>1266</v>
      </c>
      <c r="W17" s="1207" t="s">
        <v>1265</v>
      </c>
      <c r="X17" s="1207" t="s">
        <v>1266</v>
      </c>
      <c r="Y17" s="1207" t="s">
        <v>1265</v>
      </c>
      <c r="Z17" s="1207" t="s">
        <v>1266</v>
      </c>
      <c r="AA17" s="1207" t="s">
        <v>1265</v>
      </c>
      <c r="AB17" s="1207" t="s">
        <v>1266</v>
      </c>
      <c r="AC17" s="2450"/>
      <c r="AD17" s="2450"/>
      <c r="AE17" s="2450"/>
      <c r="AF17" s="2450"/>
      <c r="AG17" s="2450"/>
      <c r="AH17" s="2450"/>
      <c r="AI17" s="2450"/>
      <c r="AJ17" s="2450"/>
      <c r="AK17" s="2450"/>
      <c r="AL17" s="2450"/>
      <c r="AM17" s="2450"/>
      <c r="AN17" s="2450"/>
      <c r="AO17" s="2450"/>
      <c r="AP17" s="2450"/>
      <c r="AQ17" s="2450"/>
      <c r="AR17" s="2450"/>
      <c r="AS17" s="2450"/>
      <c r="AT17" s="2450"/>
      <c r="AU17" s="2450"/>
      <c r="AV17" s="2450"/>
      <c r="AW17" s="2450"/>
      <c r="AX17" s="2450"/>
      <c r="AY17" s="2450"/>
      <c r="AZ17" s="2450"/>
      <c r="BA17" s="2450"/>
      <c r="BB17" s="2450"/>
      <c r="BC17" s="2450"/>
      <c r="BD17" s="2450"/>
      <c r="BE17" s="2450"/>
      <c r="BF17" s="2450"/>
      <c r="BG17" s="2450"/>
      <c r="BH17" s="2450"/>
      <c r="BI17" s="2450"/>
      <c r="BJ17" s="2450"/>
      <c r="BK17" s="2450"/>
      <c r="BL17" s="2450"/>
      <c r="BM17" s="2450"/>
      <c r="BN17" s="2450"/>
      <c r="BO17" s="2450"/>
      <c r="BP17" s="2450"/>
      <c r="BQ17" s="2450"/>
      <c r="BR17" s="2450"/>
      <c r="BS17" s="2469"/>
      <c r="BT17" s="1207" t="s">
        <v>1265</v>
      </c>
      <c r="BU17" s="1207" t="s">
        <v>1266</v>
      </c>
      <c r="BV17" s="1207" t="s">
        <v>1265</v>
      </c>
      <c r="BW17" s="1207" t="s">
        <v>1266</v>
      </c>
      <c r="BX17" s="1207" t="s">
        <v>1265</v>
      </c>
      <c r="BY17" s="1207" t="s">
        <v>1266</v>
      </c>
      <c r="BZ17" s="1207" t="s">
        <v>1265</v>
      </c>
      <c r="CA17" s="1207" t="s">
        <v>1266</v>
      </c>
      <c r="CB17" s="1207" t="s">
        <v>1265</v>
      </c>
      <c r="CC17" s="1207" t="s">
        <v>1266</v>
      </c>
      <c r="CD17" s="1207" t="s">
        <v>1265</v>
      </c>
      <c r="CE17" s="1207" t="s">
        <v>1266</v>
      </c>
      <c r="CF17" s="1207" t="s">
        <v>1265</v>
      </c>
      <c r="CG17" s="1207" t="s">
        <v>1266</v>
      </c>
      <c r="CH17" s="1207" t="s">
        <v>1265</v>
      </c>
      <c r="CI17" s="1207" t="s">
        <v>1266</v>
      </c>
      <c r="CJ17" s="1207" t="s">
        <v>1265</v>
      </c>
      <c r="CK17" s="1207" t="s">
        <v>1266</v>
      </c>
      <c r="CL17" s="2452"/>
      <c r="CM17" s="2450"/>
      <c r="CN17" s="2450"/>
      <c r="CO17" s="2450"/>
      <c r="CP17" s="2450"/>
      <c r="CQ17" s="2450"/>
      <c r="CR17" s="2450"/>
      <c r="CS17" s="2450"/>
      <c r="CT17" s="2450"/>
      <c r="CU17" s="2450"/>
      <c r="CV17" s="2450"/>
      <c r="CW17" s="2450"/>
      <c r="CX17" s="2469"/>
      <c r="CY17" s="1207" t="s">
        <v>1265</v>
      </c>
      <c r="CZ17" s="1207" t="s">
        <v>1266</v>
      </c>
      <c r="DA17" s="1207" t="s">
        <v>1265</v>
      </c>
      <c r="DB17" s="1207" t="s">
        <v>1266</v>
      </c>
      <c r="DC17" s="1207" t="s">
        <v>1265</v>
      </c>
      <c r="DD17" s="1207" t="s">
        <v>1266</v>
      </c>
      <c r="DE17" s="1207" t="s">
        <v>1265</v>
      </c>
      <c r="DF17" s="1207" t="s">
        <v>1266</v>
      </c>
      <c r="DG17" s="1207" t="s">
        <v>1265</v>
      </c>
      <c r="DH17" s="1207" t="s">
        <v>1266</v>
      </c>
      <c r="DI17" s="1207" t="s">
        <v>1265</v>
      </c>
      <c r="DJ17" s="1207" t="s">
        <v>1266</v>
      </c>
      <c r="DK17" s="2452"/>
      <c r="DL17" s="2450"/>
      <c r="DM17" s="2450"/>
      <c r="DN17" s="2450"/>
      <c r="DO17" s="2450"/>
      <c r="DP17" s="2450"/>
      <c r="DQ17" s="2450"/>
      <c r="DR17" s="2450"/>
      <c r="DS17" s="2450"/>
      <c r="DT17" s="2450"/>
      <c r="DU17" s="2450"/>
      <c r="DV17" s="2450"/>
      <c r="DW17" s="2450"/>
      <c r="DX17" s="2450"/>
      <c r="DY17" s="2450"/>
      <c r="DZ17" s="2450"/>
      <c r="EA17" s="2450"/>
      <c r="EB17" s="2450"/>
      <c r="EC17" s="2450"/>
      <c r="ED17" s="2450"/>
      <c r="EE17" s="2450"/>
      <c r="EF17" s="2450"/>
      <c r="EG17" s="2450"/>
      <c r="EH17" s="2450"/>
      <c r="EI17" s="2450"/>
      <c r="EJ17" s="2450"/>
      <c r="EK17" s="2450"/>
      <c r="EL17" s="2450"/>
      <c r="EM17" s="2450"/>
      <c r="EN17" s="2450"/>
      <c r="EO17" s="2450"/>
      <c r="EP17" s="2450"/>
      <c r="EQ17" s="2450"/>
      <c r="ER17" s="2450"/>
      <c r="ES17" s="2450"/>
      <c r="ET17" s="2450"/>
      <c r="EU17" s="2450"/>
      <c r="EV17" s="2450"/>
      <c r="EW17" s="2450"/>
      <c r="EX17" s="2450"/>
      <c r="EY17" s="2450"/>
      <c r="EZ17" s="2450"/>
      <c r="FA17" s="2450"/>
      <c r="FB17" s="2450"/>
      <c r="FC17" s="2450"/>
      <c r="FD17" s="2450"/>
      <c r="FE17" s="2450"/>
      <c r="FF17" s="2450"/>
      <c r="FG17" s="2450"/>
      <c r="FH17" s="2450"/>
      <c r="FI17" s="2450"/>
      <c r="FJ17" s="2450"/>
      <c r="FK17" s="2450"/>
      <c r="FL17" s="2450"/>
      <c r="FM17" s="2450"/>
      <c r="FN17" s="2450"/>
      <c r="FO17" s="2450"/>
      <c r="FP17" s="2450"/>
      <c r="FQ17" s="2450"/>
      <c r="FR17" s="2450"/>
      <c r="FS17" s="2450"/>
      <c r="FT17" s="2450"/>
      <c r="FU17" s="2450"/>
      <c r="FV17" s="2450"/>
      <c r="FW17" s="2465"/>
      <c r="FX17" s="778"/>
      <c r="GC17" s="942">
        <v>15</v>
      </c>
    </row>
    <row s="941" customFormat="1" customHeight="1" ht="12" hidden="1">
      <c r="B18" s="939"/>
      <c r="E18" s="955"/>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c r="GC18" s="940">
        <v>0</v>
      </c>
    </row>
    <row s="941" customFormat="1" customHeight="1" ht="11.25" hidden="1">
      <c r="B19" s="939"/>
      <c r="E19" s="955"/>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c r="GC19" s="940">
        <v>0</v>
      </c>
    </row>
    <row s="941" customFormat="1" customHeight="1" ht="11.25" hidden="1">
      <c r="B20" s="956"/>
      <c r="D20" s="940"/>
      <c r="E20" s="955"/>
      <c r="F20" s="1213" t="s">
        <v>529</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c r="GC20" s="938">
        <v>0</v>
      </c>
    </row>
    <row s="941" customFormat="1" customHeight="1" ht="12.75">
      <c r="A21" s="957"/>
      <c r="B21" s="957"/>
      <c r="C21" s="957"/>
      <c r="D21" s="957"/>
      <c r="E21" s="957"/>
      <c r="F21" s="955"/>
      <c r="G21" s="955"/>
      <c r="H21" s="955"/>
      <c r="I21" s="955"/>
      <c r="J21" s="955"/>
      <c r="K21" s="955"/>
      <c r="L21" s="955"/>
      <c r="M21" s="955"/>
      <c r="N21" s="955"/>
      <c r="O21" s="955"/>
      <c r="P21" s="955"/>
      <c r="Q21" s="955"/>
      <c r="R21" s="955"/>
      <c r="S21" s="958"/>
      <c r="T21" s="958"/>
      <c r="U21" s="955"/>
      <c r="V21" s="955"/>
      <c r="W21" s="955"/>
      <c r="X21" s="955"/>
      <c r="Y21" s="955"/>
      <c r="Z21" s="955"/>
      <c r="AA21" s="955"/>
      <c r="AB21" s="955"/>
      <c r="AC21" s="955"/>
      <c r="AD21" s="955"/>
      <c r="AE21" s="955"/>
      <c r="AF21" s="955"/>
      <c r="AG21" s="955"/>
      <c r="AH21" s="955"/>
      <c r="AI21" s="955"/>
      <c r="AJ21" s="955"/>
      <c r="AK21" s="955"/>
      <c r="AL21" s="955"/>
      <c r="AM21" s="955"/>
      <c r="AN21" s="955"/>
      <c r="AO21" s="955"/>
      <c r="AP21" s="955"/>
      <c r="AQ21" s="955"/>
      <c r="AR21" s="955"/>
      <c r="AS21" s="955"/>
      <c r="AT21" s="955"/>
      <c r="AU21" s="955"/>
      <c r="AV21" s="955"/>
      <c r="AW21" s="955"/>
      <c r="AX21" s="955"/>
      <c r="AY21" s="955"/>
      <c r="AZ21" s="955"/>
      <c r="BA21" s="955"/>
      <c r="BB21" s="955"/>
      <c r="BC21" s="955"/>
      <c r="BD21" s="955"/>
      <c r="BE21" s="955"/>
      <c r="BF21" s="955"/>
      <c r="BG21" s="955"/>
      <c r="BH21" s="955"/>
      <c r="BI21" s="955"/>
      <c r="BJ21" s="955"/>
      <c r="BK21" s="955"/>
      <c r="BL21" s="955"/>
      <c r="BM21" s="955"/>
      <c r="BN21" s="955"/>
      <c r="BO21" s="955"/>
      <c r="BP21" s="955"/>
      <c r="BQ21" s="955"/>
      <c r="BR21" s="955"/>
      <c r="BS21" s="955"/>
      <c r="BT21" s="955"/>
      <c r="BU21" s="955"/>
      <c r="BV21" s="955"/>
      <c r="BW21" s="955"/>
      <c r="BX21" s="955"/>
      <c r="BY21" s="955"/>
      <c r="BZ21" s="955"/>
      <c r="CA21" s="955"/>
      <c r="CB21" s="955"/>
      <c r="CC21" s="955"/>
      <c r="CD21" s="955"/>
      <c r="CE21" s="955"/>
      <c r="CF21" s="955"/>
      <c r="CG21" s="955"/>
      <c r="CH21" s="955"/>
      <c r="CI21" s="955"/>
      <c r="CJ21" s="955"/>
      <c r="CK21" s="955"/>
      <c r="CL21" s="955"/>
      <c r="CM21" s="955"/>
      <c r="CN21" s="955"/>
      <c r="CO21" s="955"/>
      <c r="CP21" s="955"/>
      <c r="CQ21" s="955"/>
      <c r="CR21" s="955"/>
      <c r="CS21" s="955"/>
      <c r="CT21" s="955"/>
      <c r="CU21" s="955"/>
      <c r="CV21" s="955"/>
      <c r="CW21" s="955"/>
      <c r="CX21" s="955"/>
      <c r="CY21" s="955"/>
      <c r="CZ21" s="955"/>
      <c r="DA21" s="955"/>
      <c r="DB21" s="955"/>
      <c r="DC21" s="955"/>
      <c r="DD21" s="955"/>
      <c r="DE21" s="955"/>
      <c r="DF21" s="955"/>
      <c r="DG21" s="955"/>
      <c r="DH21" s="955"/>
      <c r="DI21" s="955"/>
      <c r="DJ21" s="955"/>
      <c r="DK21" s="955"/>
      <c r="DL21" s="955"/>
      <c r="DM21" s="955"/>
      <c r="DN21" s="955"/>
      <c r="DO21" s="955"/>
      <c r="DP21" s="955"/>
      <c r="DQ21" s="955"/>
      <c r="DR21" s="955"/>
      <c r="DS21" s="955"/>
      <c r="DT21" s="955"/>
      <c r="DU21" s="955"/>
      <c r="DV21" s="955"/>
      <c r="DW21" s="955"/>
      <c r="DX21" s="955"/>
      <c r="DY21" s="955"/>
      <c r="DZ21" s="955"/>
      <c r="EA21" s="955"/>
      <c r="EB21" s="955"/>
      <c r="EC21" s="955"/>
      <c r="ED21" s="955"/>
      <c r="EE21" s="955"/>
      <c r="EF21" s="955"/>
      <c r="EG21" s="955"/>
      <c r="EH21" s="955"/>
      <c r="EI21" s="955"/>
      <c r="EJ21" s="955"/>
      <c r="EK21" s="955"/>
      <c r="EL21" s="955"/>
      <c r="EM21" s="955"/>
      <c r="EN21" s="955"/>
      <c r="EO21" s="955"/>
      <c r="EP21" s="955"/>
      <c r="EQ21" s="955"/>
      <c r="ER21" s="955"/>
      <c r="ES21" s="955"/>
      <c r="ET21" s="955"/>
      <c r="EU21" s="955"/>
      <c r="EV21" s="955"/>
      <c r="EW21" s="955"/>
      <c r="EX21" s="955"/>
      <c r="EY21" s="955"/>
      <c r="EZ21" s="955"/>
      <c r="FA21" s="955"/>
      <c r="FB21" s="955"/>
      <c r="FC21" s="955"/>
      <c r="FD21" s="955"/>
      <c r="FE21" s="955"/>
      <c r="FF21" s="955"/>
      <c r="FG21" s="955"/>
      <c r="FH21" s="955"/>
      <c r="FI21" s="955"/>
      <c r="FJ21" s="955"/>
      <c r="FK21" s="955"/>
      <c r="FL21" s="955"/>
      <c r="FM21" s="955"/>
      <c r="FN21" s="955"/>
      <c r="FO21" s="955"/>
      <c r="FP21" s="955"/>
      <c r="FQ21" s="955"/>
      <c r="FR21" s="955"/>
      <c r="FS21" s="955"/>
      <c r="FT21" s="955"/>
      <c r="FU21" s="955"/>
      <c r="FV21" s="955"/>
      <c r="FW21" s="955"/>
      <c r="FX21" s="957"/>
      <c r="FY21" s="957"/>
      <c r="FZ21" s="957"/>
      <c r="GA21" s="957"/>
      <c r="GB21" s="957"/>
      <c r="GC21" s="938">
        <v>12</v>
      </c>
    </row>
    <row s="941" customFormat="1" customHeight="1" ht="12.75">
      <c r="A22" s="957"/>
      <c r="B22" s="957"/>
      <c r="C22" s="957"/>
      <c r="D22" s="957"/>
      <c r="E22" s="957"/>
      <c r="FX22" s="957"/>
      <c r="FY22" s="957"/>
      <c r="FZ22" s="957"/>
      <c r="GA22" s="957"/>
      <c r="GB22" s="957"/>
      <c r="GC22" s="938">
        <v>12</v>
      </c>
    </row>
    <row s="1079" customFormat="1" customHeight="1" ht="12.75">
      <c r="A23" s="1078"/>
      <c r="B23" s="1078"/>
      <c r="C23" s="1078"/>
      <c r="D23" s="1078"/>
      <c r="E23" s="1078"/>
      <c r="O23" s="1080"/>
      <c r="P23" s="1080"/>
      <c r="Q23" s="1080"/>
      <c r="R23" s="1080"/>
      <c r="S23" s="1080"/>
      <c r="T23" s="1080"/>
      <c r="U23" s="1080"/>
      <c r="V23" s="1080"/>
      <c r="W23" s="1080"/>
      <c r="X23" s="1080"/>
      <c r="Y23" s="1080"/>
      <c r="Z23" s="1080"/>
      <c r="AA23" s="1080"/>
      <c r="AB23" s="1080"/>
      <c r="AC23" s="1080"/>
      <c r="AD23" s="1080"/>
      <c r="AE23" s="1080"/>
      <c r="AF23" s="1080"/>
      <c r="AG23" s="1080"/>
      <c r="AH23" s="1080"/>
      <c r="AI23" s="1080"/>
      <c r="AJ23" s="1080"/>
      <c r="AK23" s="1080"/>
      <c r="AL23" s="1080"/>
      <c r="AM23" s="1080"/>
      <c r="AN23" s="1080"/>
      <c r="AO23" s="1080"/>
      <c r="AP23" s="1080"/>
      <c r="AQ23" s="1080"/>
      <c r="AR23" s="1080"/>
      <c r="AS23" s="1080"/>
      <c r="AT23" s="1080"/>
      <c r="AU23" s="1080"/>
      <c r="AV23" s="1080"/>
      <c r="AW23" s="1080"/>
      <c r="AX23" s="1080"/>
      <c r="AY23" s="1080"/>
      <c r="AZ23" s="1080"/>
      <c r="BA23" s="1080"/>
      <c r="BB23" s="1080"/>
      <c r="BC23" s="1080"/>
      <c r="BD23" s="1080"/>
      <c r="BE23" s="1080"/>
      <c r="BF23" s="1080"/>
      <c r="BG23" s="1080"/>
      <c r="BH23" s="1080"/>
      <c r="BI23" s="1080"/>
      <c r="BJ23" s="1080"/>
      <c r="BK23" s="1080"/>
      <c r="BL23" s="1080"/>
      <c r="BM23" s="1080"/>
      <c r="BN23" s="1080"/>
      <c r="BO23" s="1080"/>
      <c r="BP23" s="1080"/>
      <c r="BQ23" s="1080"/>
      <c r="BR23" s="1080"/>
      <c r="BS23" s="1080"/>
      <c r="BT23" s="1081"/>
      <c r="BU23" s="1081"/>
      <c r="BV23" s="1081"/>
      <c r="BW23" s="1081"/>
      <c r="BX23" s="1081"/>
      <c r="BY23" s="1081"/>
      <c r="BZ23" s="1081"/>
      <c r="CA23" s="1081"/>
      <c r="CB23" s="1081"/>
      <c r="CC23" s="1081"/>
      <c r="CD23" s="1081"/>
      <c r="CE23" s="1081"/>
      <c r="CF23" s="1081"/>
      <c r="CG23" s="1081"/>
      <c r="CH23" s="1081"/>
      <c r="CI23" s="1081"/>
      <c r="CJ23" s="1081"/>
      <c r="CK23" s="1081"/>
      <c r="CL23" s="1081"/>
      <c r="CM23" s="1081"/>
      <c r="CN23" s="1081"/>
      <c r="CO23" s="1081"/>
      <c r="CP23" s="1081"/>
      <c r="CQ23" s="1081"/>
      <c r="CR23" s="1081"/>
      <c r="CS23" s="1081"/>
      <c r="CT23" s="1081"/>
      <c r="CU23" s="1081"/>
      <c r="CV23" s="1081"/>
      <c r="CW23" s="1081"/>
      <c r="CX23" s="1081"/>
      <c r="CY23" s="1081"/>
      <c r="CZ23" s="1081"/>
      <c r="DA23" s="1081"/>
      <c r="DB23" s="1081"/>
      <c r="DC23" s="1081"/>
      <c r="DD23" s="1081"/>
      <c r="DE23" s="1081"/>
      <c r="DF23" s="1081"/>
      <c r="DG23" s="1081"/>
      <c r="DH23" s="1081"/>
      <c r="DI23" s="1081"/>
      <c r="DJ23" s="1081"/>
      <c r="DK23" s="1081"/>
      <c r="DL23" s="1081"/>
      <c r="DM23" s="1081"/>
      <c r="DN23" s="1081"/>
      <c r="DO23" s="1081"/>
      <c r="DP23" s="1081"/>
      <c r="DQ23" s="1081"/>
      <c r="DR23" s="1081"/>
      <c r="DS23" s="1081"/>
      <c r="DT23" s="1081"/>
      <c r="DU23" s="1081"/>
      <c r="DV23" s="1081"/>
      <c r="DW23" s="1081"/>
      <c r="DX23" s="1081"/>
      <c r="FX23" s="1078"/>
      <c r="FY23" s="1078"/>
      <c r="FZ23" s="1078"/>
      <c r="GA23" s="1078"/>
      <c r="GB23" s="1078"/>
      <c r="GC23" s="1079">
        <v>12</v>
      </c>
    </row>
    <row customHeight="1" ht="12.75">
      <c r="S24" s="954"/>
      <c r="T24" s="954"/>
      <c r="U24" s="954"/>
      <c r="V24" s="954"/>
      <c r="W24" s="954"/>
      <c r="X24" s="954"/>
      <c r="Y24" s="954"/>
      <c r="Z24" s="954"/>
      <c r="AA24" s="954"/>
      <c r="AB24" s="954"/>
      <c r="FX24" s="954"/>
      <c r="FY24" s="954"/>
      <c r="FZ24" s="954"/>
      <c r="GA24" s="954"/>
      <c r="GB24" s="954"/>
      <c r="GC24" s="942">
        <v>12</v>
      </c>
    </row>
    <row customHeight="1" ht="12" hidden="1">
      <c r="A25" s="942" t="s">
        <v>85</v>
      </c>
      <c r="B25" s="952">
        <v>0</v>
      </c>
      <c r="C25" s="942">
        <v>0</v>
      </c>
      <c r="D25" s="942">
        <v>0</v>
      </c>
      <c r="E25" s="942">
        <v>3</v>
      </c>
      <c r="F25" s="942">
        <v>6</v>
      </c>
      <c r="G25" s="942">
        <v>18</v>
      </c>
      <c r="H25" s="942">
        <v>27</v>
      </c>
      <c r="I25" s="942">
        <v>18</v>
      </c>
      <c r="J25" s="942">
        <v>0</v>
      </c>
      <c r="K25" s="942">
        <v>0</v>
      </c>
      <c r="L25" s="942">
        <v>0</v>
      </c>
      <c r="M25" s="942">
        <v>0</v>
      </c>
      <c r="N25" s="942">
        <v>0</v>
      </c>
      <c r="O25" s="942">
        <v>0</v>
      </c>
      <c r="P25" s="942">
        <v>0</v>
      </c>
      <c r="Q25" s="942">
        <v>0</v>
      </c>
      <c r="R25" s="942">
        <v>0</v>
      </c>
      <c r="S25" s="942">
        <v>0</v>
      </c>
      <c r="T25" s="942">
        <v>0</v>
      </c>
      <c r="U25" s="942">
        <v>0</v>
      </c>
      <c r="V25" s="942">
        <v>0</v>
      </c>
      <c r="W25" s="942">
        <v>0</v>
      </c>
      <c r="X25" s="942">
        <v>0</v>
      </c>
      <c r="Y25" s="942">
        <v>0</v>
      </c>
      <c r="Z25" s="942">
        <v>0</v>
      </c>
      <c r="AA25" s="942">
        <v>0</v>
      </c>
      <c r="AB25" s="942">
        <v>0</v>
      </c>
      <c r="AC25" s="942">
        <v>0</v>
      </c>
      <c r="AD25" s="942">
        <v>0</v>
      </c>
      <c r="AE25" s="942">
        <v>0</v>
      </c>
      <c r="AF25" s="942">
        <v>0</v>
      </c>
      <c r="AG25" s="942">
        <v>0</v>
      </c>
      <c r="AH25" s="942">
        <v>0</v>
      </c>
      <c r="AI25" s="942">
        <v>0</v>
      </c>
      <c r="AJ25" s="942">
        <v>0</v>
      </c>
      <c r="AK25" s="942">
        <v>0</v>
      </c>
      <c r="AL25" s="942">
        <v>0</v>
      </c>
      <c r="AM25" s="942">
        <v>0</v>
      </c>
      <c r="AN25" s="942">
        <v>0</v>
      </c>
      <c r="AO25" s="942">
        <v>0</v>
      </c>
      <c r="AP25" s="942">
        <v>0</v>
      </c>
      <c r="AQ25" s="942">
        <v>0</v>
      </c>
      <c r="AR25" s="942">
        <v>0</v>
      </c>
      <c r="AS25" s="942">
        <v>0</v>
      </c>
      <c r="AT25" s="942">
        <v>0</v>
      </c>
      <c r="AU25" s="942">
        <v>0</v>
      </c>
      <c r="AV25" s="942">
        <v>0</v>
      </c>
      <c r="AW25" s="942">
        <v>0</v>
      </c>
      <c r="AX25" s="942">
        <v>0</v>
      </c>
      <c r="AY25" s="942">
        <v>0</v>
      </c>
      <c r="AZ25" s="942">
        <v>0</v>
      </c>
      <c r="BA25" s="942">
        <v>0</v>
      </c>
      <c r="BB25" s="942">
        <v>0</v>
      </c>
      <c r="BC25" s="942">
        <v>0</v>
      </c>
      <c r="BD25" s="942">
        <v>0</v>
      </c>
      <c r="BE25" s="942">
        <v>0</v>
      </c>
      <c r="BF25" s="942">
        <v>0</v>
      </c>
      <c r="BG25" s="942">
        <v>0</v>
      </c>
      <c r="BH25" s="942">
        <v>0</v>
      </c>
      <c r="BI25" s="942">
        <v>0</v>
      </c>
      <c r="BJ25" s="942">
        <v>0</v>
      </c>
      <c r="BK25" s="942">
        <v>0</v>
      </c>
      <c r="BL25" s="942">
        <v>0</v>
      </c>
      <c r="BM25" s="942">
        <v>0</v>
      </c>
      <c r="BN25" s="942">
        <v>0</v>
      </c>
      <c r="BO25" s="942">
        <v>0</v>
      </c>
      <c r="BP25" s="942">
        <v>0</v>
      </c>
      <c r="BQ25" s="942">
        <v>0</v>
      </c>
      <c r="BR25" s="942">
        <v>0</v>
      </c>
      <c r="BS25" s="942">
        <v>0</v>
      </c>
      <c r="BT25" s="942">
        <v>0</v>
      </c>
      <c r="BU25" s="942">
        <v>0</v>
      </c>
      <c r="BV25" s="942">
        <v>0</v>
      </c>
      <c r="BW25" s="942">
        <v>0</v>
      </c>
      <c r="BX25" s="942">
        <v>0</v>
      </c>
      <c r="BY25" s="942">
        <v>0</v>
      </c>
      <c r="BZ25" s="942">
        <v>0</v>
      </c>
      <c r="CA25" s="942">
        <v>0</v>
      </c>
      <c r="CB25" s="942">
        <v>0</v>
      </c>
      <c r="CC25" s="942">
        <v>0</v>
      </c>
      <c r="CD25" s="942">
        <v>0</v>
      </c>
      <c r="CE25" s="942">
        <v>0</v>
      </c>
      <c r="CF25" s="942">
        <v>0</v>
      </c>
      <c r="CG25" s="942">
        <v>0</v>
      </c>
      <c r="CH25" s="942">
        <v>0</v>
      </c>
      <c r="CI25" s="942">
        <v>0</v>
      </c>
      <c r="CJ25" s="942">
        <v>0</v>
      </c>
      <c r="CK25" s="942">
        <v>0</v>
      </c>
      <c r="CL25" s="942">
        <v>0</v>
      </c>
      <c r="CM25" s="942">
        <v>0</v>
      </c>
      <c r="CN25" s="942">
        <v>0</v>
      </c>
      <c r="CO25" s="942">
        <v>0</v>
      </c>
      <c r="CP25" s="942">
        <v>0</v>
      </c>
      <c r="CQ25" s="942">
        <v>0</v>
      </c>
      <c r="CR25" s="942">
        <v>0</v>
      </c>
      <c r="CS25" s="942">
        <v>0</v>
      </c>
      <c r="CT25" s="942">
        <v>0</v>
      </c>
      <c r="CU25" s="942">
        <v>0</v>
      </c>
      <c r="CV25" s="942">
        <v>0</v>
      </c>
      <c r="CW25" s="942">
        <v>0</v>
      </c>
      <c r="CX25" s="942">
        <v>0</v>
      </c>
      <c r="CY25" s="942">
        <v>0</v>
      </c>
      <c r="CZ25" s="942">
        <v>0</v>
      </c>
      <c r="DA25" s="942">
        <v>0</v>
      </c>
      <c r="DB25" s="942">
        <v>0</v>
      </c>
      <c r="DC25" s="942">
        <v>0</v>
      </c>
      <c r="DD25" s="942">
        <v>0</v>
      </c>
      <c r="DE25" s="942">
        <v>0</v>
      </c>
      <c r="DF25" s="942">
        <v>0</v>
      </c>
      <c r="DG25" s="942">
        <v>0</v>
      </c>
      <c r="DH25" s="942">
        <v>0</v>
      </c>
      <c r="DI25" s="942">
        <v>0</v>
      </c>
      <c r="DJ25" s="942">
        <v>0</v>
      </c>
      <c r="DK25" s="942">
        <v>0</v>
      </c>
      <c r="DL25" s="942">
        <v>0</v>
      </c>
      <c r="DM25" s="942">
        <v>0</v>
      </c>
      <c r="DN25" s="942">
        <v>0</v>
      </c>
      <c r="DO25" s="942">
        <v>0</v>
      </c>
      <c r="DP25" s="942">
        <v>0</v>
      </c>
      <c r="DQ25" s="942">
        <v>0</v>
      </c>
      <c r="DR25" s="942">
        <v>0</v>
      </c>
      <c r="DS25" s="942">
        <v>0</v>
      </c>
      <c r="DT25" s="942">
        <v>0</v>
      </c>
      <c r="DU25" s="942">
        <v>0</v>
      </c>
      <c r="DV25" s="942">
        <v>0</v>
      </c>
      <c r="DW25" s="942">
        <v>0</v>
      </c>
      <c r="DX25" s="942">
        <v>0</v>
      </c>
      <c r="DY25" s="942">
        <v>0</v>
      </c>
      <c r="DZ25" s="942">
        <v>0</v>
      </c>
      <c r="EA25" s="942">
        <v>0</v>
      </c>
      <c r="EB25" s="942">
        <v>0</v>
      </c>
      <c r="EC25" s="942">
        <v>0</v>
      </c>
      <c r="ED25" s="942">
        <v>0</v>
      </c>
      <c r="EE25" s="942">
        <v>0</v>
      </c>
      <c r="EF25" s="942">
        <v>0</v>
      </c>
      <c r="EG25" s="942">
        <v>0</v>
      </c>
      <c r="EH25" s="942">
        <v>0</v>
      </c>
      <c r="EI25" s="942">
        <v>0</v>
      </c>
      <c r="EJ25" s="942">
        <v>0</v>
      </c>
      <c r="EK25" s="942">
        <v>0</v>
      </c>
      <c r="EL25" s="942">
        <v>0</v>
      </c>
      <c r="EM25" s="942">
        <v>0</v>
      </c>
      <c r="EN25" s="942">
        <v>0</v>
      </c>
      <c r="EO25" s="942">
        <v>0</v>
      </c>
      <c r="EP25" s="942">
        <v>0</v>
      </c>
      <c r="EQ25" s="942">
        <v>0</v>
      </c>
      <c r="ER25" s="942">
        <v>0</v>
      </c>
      <c r="ES25" s="942">
        <v>0</v>
      </c>
      <c r="ET25" s="942">
        <v>0</v>
      </c>
      <c r="EU25" s="942">
        <v>0</v>
      </c>
      <c r="EV25" s="942">
        <v>0</v>
      </c>
      <c r="EW25" s="942">
        <v>0</v>
      </c>
      <c r="EX25" s="942">
        <v>0</v>
      </c>
      <c r="EY25" s="942">
        <v>0</v>
      </c>
      <c r="EZ25" s="942">
        <v>0</v>
      </c>
      <c r="FA25" s="942">
        <v>0</v>
      </c>
      <c r="FB25" s="942">
        <v>0</v>
      </c>
      <c r="FC25" s="942">
        <v>0</v>
      </c>
      <c r="FD25" s="942">
        <v>0</v>
      </c>
      <c r="FE25" s="942">
        <v>0</v>
      </c>
      <c r="FF25" s="942">
        <v>0</v>
      </c>
      <c r="FG25" s="942">
        <v>0</v>
      </c>
      <c r="FH25" s="942">
        <v>0</v>
      </c>
      <c r="FI25" s="942">
        <v>0</v>
      </c>
      <c r="FJ25" s="942">
        <v>0</v>
      </c>
      <c r="FK25" s="942">
        <v>0</v>
      </c>
      <c r="FL25" s="942">
        <v>0</v>
      </c>
      <c r="FM25" s="942">
        <v>0</v>
      </c>
      <c r="FN25" s="942">
        <v>0</v>
      </c>
      <c r="FO25" s="942">
        <v>0</v>
      </c>
      <c r="FP25" s="942">
        <v>0</v>
      </c>
      <c r="FQ25" s="942">
        <v>0</v>
      </c>
      <c r="FR25" s="942">
        <v>0</v>
      </c>
      <c r="FS25" s="942">
        <v>0</v>
      </c>
      <c r="FT25" s="942">
        <v>0</v>
      </c>
      <c r="FU25" s="942">
        <v>0</v>
      </c>
      <c r="FV25" s="942">
        <v>0</v>
      </c>
      <c r="FW25" s="942">
        <v>0</v>
      </c>
      <c r="FX25" s="942">
        <v>8</v>
      </c>
      <c r="FY25" s="942">
        <v>8</v>
      </c>
      <c r="FZ25" s="942">
        <v>8</v>
      </c>
      <c r="GA25" s="942">
        <v>8</v>
      </c>
      <c r="GB25" s="942">
        <v>8</v>
      </c>
      <c r="GC25" s="94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21397-0B43-1B88-363A-E1630314A85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8" width="9.140625" hidden="1" customWidth="1"/>
    <col min="2" max="2" style="1651" width="9.140625" hidden="1" customWidth="1"/>
    <col min="3" max="3" style="699" width="4.00390625" customWidth="1"/>
    <col min="4" max="4" style="1651" width="6.00390625" customWidth="1"/>
    <col min="5" max="5" style="1651" width="36.00390625" customWidth="1"/>
    <col min="6" max="6" style="1651" width="9.00390625" customWidth="1"/>
    <col min="7" max="7" style="1651" width="42.421875" hidden="1" customWidth="1"/>
    <col min="8" max="8" style="1651" width="40.7109375" customWidth="1"/>
    <col min="9" max="9" style="1382" width="93.00390625" customWidth="1"/>
    <col min="10" max="17" style="1651" width="10.00390625" customWidth="1"/>
    <col min="18" max="18" style="691" width="10.00390625" customWidth="1"/>
    <col min="19" max="19" style="1651" width="10.57421875" hidden="1"/>
  </cols>
  <sheetData>
    <row s="1382" customFormat="1" customHeight="1" ht="15" hidden="1">
      <c r="C1" s="688"/>
      <c r="H1" s="433">
        <v>4</v>
      </c>
      <c r="R1" s="436"/>
      <c r="S1" s="433" t="s">
        <v>14</v>
      </c>
    </row>
    <row customHeight="1" ht="22.5" hidden="1">
      <c r="C2" s="1944" t="s">
        <v>108</v>
      </c>
      <c r="D2" s="555"/>
      <c r="E2" s="679"/>
      <c r="F2" s="1777" t="str">
        <f>IF(TEMPLATE_SPHERE="HEAT","Гкал/час","тыс. куб. м/сутки")</f>
        <v>Гкал/час</v>
      </c>
      <c r="G2" s="696"/>
      <c r="H2" s="696"/>
      <c r="I2" s="305"/>
      <c r="S2" s="521">
        <v>0</v>
      </c>
    </row>
    <row s="1382" customFormat="1" customHeight="1" ht="15" hidden="1">
      <c r="C3" s="688"/>
      <c r="R3" s="436"/>
      <c r="S3" s="433">
        <v>0</v>
      </c>
    </row>
    <row customHeight="1" ht="15.75">
      <c r="C4" s="192"/>
      <c r="D4" s="525"/>
      <c r="E4" s="525"/>
      <c r="F4" s="525"/>
      <c r="G4" s="525"/>
      <c r="H4" s="525"/>
      <c r="S4" s="521">
        <v>15</v>
      </c>
    </row>
    <row customHeight="1" ht="39.75">
      <c r="C5" s="192"/>
      <c r="D5" s="225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3"/>
      <c r="F5" s="2253"/>
      <c r="G5" s="2253"/>
      <c r="H5" s="2253"/>
      <c r="I5" s="553"/>
      <c r="S5" s="521">
        <v>38</v>
      </c>
    </row>
    <row customHeight="1" ht="15.75">
      <c r="C6" s="192"/>
      <c r="D6" s="2192" t="str">
        <f>IF(org=0,"Не определено",org)</f>
        <v>КГУП "Примтеплоэнерго"</v>
      </c>
      <c r="E6" s="2192"/>
      <c r="F6" s="2192"/>
      <c r="G6" s="2192"/>
      <c r="H6" s="2192"/>
      <c r="I6" s="553"/>
      <c r="S6" s="521">
        <v>15</v>
      </c>
    </row>
    <row s="1651" customFormat="1" customHeight="1" ht="15.75">
      <c r="A7" s="775"/>
      <c r="C7" s="192"/>
      <c r="D7" s="692"/>
      <c r="E7" s="692"/>
      <c r="F7" s="692"/>
      <c r="G7" s="692"/>
      <c r="H7" s="768"/>
      <c r="I7" s="553"/>
      <c r="R7" s="691"/>
      <c r="S7" s="774">
        <v>15</v>
      </c>
    </row>
    <row customHeight="1" ht="1.05">
      <c r="C8" s="192"/>
      <c r="D8" s="525"/>
      <c r="E8" s="525"/>
      <c r="F8" s="525"/>
      <c r="G8" s="525"/>
      <c r="H8" s="553" t="s">
        <v>186</v>
      </c>
      <c r="S8" s="521">
        <v>1</v>
      </c>
    </row>
    <row customHeight="1" ht="15.75">
      <c r="C9" s="192"/>
      <c r="D9" s="727"/>
      <c r="E9" s="2383" t="s">
        <v>178</v>
      </c>
      <c r="F9" s="2384"/>
      <c r="G9" s="832" t="str">
        <f>IF(G8="","",INDEX(DIFFERENTIATION_UNMERGE_VD,MATCH(G8,DIFFERENTIATION_ID_DIFF,0)))</f>
        <v/>
      </c>
      <c r="H9" s="832">
        <f>IF(H8="","",INDEX(DIFFERENTIATION_UNMERGE_VD,MATCH(H8,DIFFERENTIATION_ID_DIFF,0)))</f>
        <v>0</v>
      </c>
      <c r="I9" s="2143" t="s">
        <v>454</v>
      </c>
      <c r="S9" s="521">
        <v>15</v>
      </c>
    </row>
    <row s="1651" customFormat="1" customHeight="1" ht="15.75">
      <c r="A10" s="775"/>
      <c r="C10" s="192"/>
      <c r="D10" s="727"/>
      <c r="E10" s="2383" t="s">
        <v>717</v>
      </c>
      <c r="F10" s="2384"/>
      <c r="G10" s="832" t="str">
        <f>IF(G8="","",INDEX(DIFFERENTIATION_UNMERGE_AREA,MATCH(G8,DIFFERENTIATION_ID_DIFF,0)))</f>
        <v/>
      </c>
      <c r="H10" s="832" t="str">
        <f>IF(H8="","",INDEX(DIFFERENTIATION_UNMERGE_AREA,MATCH(H8,DIFFERENTIATION_ID_DIFF,0)))</f>
        <v/>
      </c>
      <c r="I10" s="2143"/>
      <c r="R10" s="691"/>
      <c r="S10" s="774">
        <v>15</v>
      </c>
    </row>
    <row s="1651" customFormat="1" customHeight="1" ht="15.75">
      <c r="A11" s="775"/>
      <c r="C11" s="192"/>
      <c r="D11" s="727"/>
      <c r="E11" s="2383" t="s">
        <v>718</v>
      </c>
      <c r="F11" s="2384"/>
      <c r="G11" s="832" t="str">
        <f>IF(G8="","",INDEX(DIFFERENTIATION_UNMERGE_SYSTEM,MATCH(G8,DIFFERENTIATION_ID_DIFF,0)))</f>
        <v/>
      </c>
      <c r="H11" s="832" t="str">
        <f>IF(H8="","",INDEX(DIFFERENTIATION_UNMERGE_SYSTEM,MATCH(H8,DIFFERENTIATION_ID_DIFF,0)))</f>
        <v>без дифференциации</v>
      </c>
      <c r="I11" s="2143"/>
      <c r="R11" s="691"/>
      <c r="S11" s="774">
        <v>15</v>
      </c>
    </row>
    <row s="1651" customFormat="1" customHeight="1" ht="15.75">
      <c r="A12" s="775"/>
      <c r="C12" s="192"/>
      <c r="D12" s="2385" t="s">
        <v>453</v>
      </c>
      <c r="E12" s="2386"/>
      <c r="F12" s="2386"/>
      <c r="G12" s="903"/>
      <c r="H12" s="903"/>
      <c r="I12" s="2143"/>
      <c r="R12" s="691"/>
      <c r="S12" s="774">
        <v>15</v>
      </c>
    </row>
    <row customHeight="1" ht="35.699999999999996">
      <c r="C13" s="192"/>
      <c r="D13" s="777" t="s">
        <v>91</v>
      </c>
      <c r="E13" s="776" t="s">
        <v>455</v>
      </c>
      <c r="F13" s="776" t="s">
        <v>719</v>
      </c>
      <c r="G13" s="824" t="s">
        <v>456</v>
      </c>
      <c r="H13" s="770" t="s">
        <v>456</v>
      </c>
      <c r="I13" s="2143"/>
      <c r="S13" s="521">
        <v>34</v>
      </c>
    </row>
    <row customHeight="1" ht="15" hidden="1">
      <c r="C14" s="192"/>
      <c r="D14" s="609" t="s">
        <v>141</v>
      </c>
      <c r="E14" s="609" t="s">
        <v>107</v>
      </c>
      <c r="F14" s="609" t="s">
        <v>93</v>
      </c>
      <c r="G14" s="675" t="str">
        <f>G1&amp;".1"</f>
        <v>.1</v>
      </c>
      <c r="H14" s="675" t="str">
        <f>H1&amp;".1"</f>
        <v>4.1</v>
      </c>
      <c r="I14" s="305"/>
      <c r="S14" s="521">
        <v>0</v>
      </c>
    </row>
    <row customHeight="1" ht="15.75">
      <c r="A15" s="521"/>
      <c r="C15" s="542"/>
      <c r="D15" s="537">
        <v>1</v>
      </c>
      <c r="E15" s="1946" t="str">
        <f>TP_P_A</f>
        <v>Количество поданных заявок</v>
      </c>
      <c r="F15" s="537" t="s">
        <v>1267</v>
      </c>
      <c r="G15" s="701"/>
      <c r="H15" s="701"/>
      <c r="I15" s="22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21">
        <v>15</v>
      </c>
    </row>
    <row customHeight="1" ht="15.75">
      <c r="A16" s="521"/>
      <c r="C16" s="542"/>
      <c r="D16" s="537">
        <v>2</v>
      </c>
      <c r="E16" s="1946" t="str">
        <f>TP_P_B</f>
        <v>Количество рассмотренных заявок</v>
      </c>
      <c r="F16" s="537" t="s">
        <v>1267</v>
      </c>
      <c r="G16" s="701"/>
      <c r="H16" s="701"/>
      <c r="I16" s="22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21">
        <v>15</v>
      </c>
    </row>
    <row customHeight="1" ht="77.7">
      <c r="A17" s="521"/>
      <c r="C17" s="542"/>
      <c r="D17" s="537">
        <v>3</v>
      </c>
      <c r="E17" s="194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7" t="s">
        <v>1267</v>
      </c>
      <c r="G17" s="701"/>
      <c r="H17" s="701"/>
      <c r="I17" s="224" t="str">
        <f>TP_P_NOTE_V</f>
        <v>Указывается количество заявок с решением об отказе в течение отчетного квартала.</v>
      </c>
      <c r="S17" s="521">
        <v>74</v>
      </c>
    </row>
    <row customHeight="1" ht="54.75">
      <c r="A18" s="521"/>
      <c r="C18" s="542"/>
      <c r="D18" s="537">
        <v>4</v>
      </c>
      <c r="E18" s="1946" t="str">
        <f>TP_P_V_1</f>
        <v>Причины отказа в заключении договора о подключении (технологическом присоединении) к системе теплоснабжения</v>
      </c>
      <c r="F18" s="537" t="s">
        <v>459</v>
      </c>
      <c r="G18" s="702"/>
      <c r="H18" s="702"/>
      <c r="I18" s="85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1">
        <v>52</v>
      </c>
    </row>
    <row customHeight="1" ht="60">
      <c r="A19" s="521"/>
      <c r="C19" s="542"/>
      <c r="D19" s="537">
        <v>5</v>
      </c>
      <c r="E19" s="1946" t="str">
        <f>TP_P_G</f>
        <v>Резерв мощности источников тепловой энергии, входящих в систему теплоснабжения, в течение одного квартала, в том числе:</v>
      </c>
      <c r="F19" s="537" t="str">
        <f>IF(TEMPLATE_SPHERE="HEAT","Гкал/час","тыс. куб. м/сутки")</f>
        <v>Гкал/час</v>
      </c>
      <c r="G19" s="703">
        <f>SUM(G20:G22)</f>
        <v>0</v>
      </c>
      <c r="H19" s="703">
        <f>SUM(H20:H22)</f>
        <v>0</v>
      </c>
      <c r="I19" s="22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21">
        <v>57</v>
      </c>
    </row>
    <row customHeight="1" ht="15" hidden="1">
      <c r="D20" s="525" t="s">
        <v>1268</v>
      </c>
      <c r="E20" s="704"/>
      <c r="F20" s="525"/>
      <c r="G20" s="525"/>
      <c r="H20" s="525"/>
      <c r="I20" s="1779"/>
      <c r="S20" s="521">
        <v>0</v>
      </c>
    </row>
    <row customHeight="1" ht="29.25">
      <c r="C21" s="467"/>
      <c r="D21" s="555" t="s">
        <v>466</v>
      </c>
      <c r="E21" s="686"/>
      <c r="F21" s="1777" t="str">
        <f>IF(TEMPLATE_SPHERE="HEAT","Гкал/час","тыс. куб. м/сутки")</f>
        <v>Гкал/час</v>
      </c>
      <c r="G21" s="696"/>
      <c r="H21" s="696"/>
      <c r="I21" s="218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21">
        <v>28</v>
      </c>
    </row>
    <row customHeight="1" ht="15.75">
      <c r="A22" s="521"/>
      <c r="C22" s="521"/>
      <c r="D22" s="363"/>
      <c r="E22" s="596" t="s">
        <v>1269</v>
      </c>
      <c r="F22" s="588"/>
      <c r="G22" s="588"/>
      <c r="H22" s="588"/>
      <c r="I22" s="2187"/>
      <c r="R22" s="521"/>
      <c r="S22" s="521">
        <v>15</v>
      </c>
    </row>
    <row customHeight="1" ht="22.5" hidden="1">
      <c r="A23" s="465" t="s">
        <v>85</v>
      </c>
      <c r="B23" s="521">
        <v>0</v>
      </c>
      <c r="C23" s="699">
        <v>4</v>
      </c>
      <c r="D23" s="521">
        <v>6</v>
      </c>
      <c r="E23" s="521">
        <v>36</v>
      </c>
      <c r="F23" s="521">
        <v>9</v>
      </c>
      <c r="G23" s="774">
        <v>0</v>
      </c>
      <c r="H23" s="521">
        <v>40</v>
      </c>
      <c r="I23" s="433">
        <v>93</v>
      </c>
      <c r="J23" s="521">
        <v>10</v>
      </c>
      <c r="K23" s="521">
        <v>10</v>
      </c>
      <c r="L23" s="521">
        <v>10</v>
      </c>
      <c r="M23" s="521">
        <v>10</v>
      </c>
      <c r="N23" s="521">
        <v>10</v>
      </c>
      <c r="O23" s="521">
        <v>10</v>
      </c>
      <c r="P23" s="521">
        <v>10</v>
      </c>
      <c r="Q23" s="521">
        <v>10</v>
      </c>
      <c r="R23" s="691">
        <v>10</v>
      </c>
      <c r="S23" s="52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A943-A5C2-5A1B-B4CC-F0BEC13E933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3" width="9.140625" hidden="1" customWidth="1"/>
    <col min="2" max="2" style="1382" width="9.140625" hidden="1" customWidth="1"/>
    <col min="3" max="3" style="360" width="3.00390625" customWidth="1"/>
    <col min="4" max="4" style="1651" width="6.00390625" customWidth="1"/>
    <col min="5" max="6" style="1651" width="64.00390625" customWidth="1"/>
    <col min="7" max="7" style="1651" width="140.00390625" customWidth="1"/>
    <col min="8" max="8" style="1651" width="10.00390625" customWidth="1"/>
    <col min="9" max="10" style="1640" width="10.00390625" customWidth="1"/>
    <col min="11" max="16" style="1651" width="10.00390625" customWidth="1"/>
    <col min="17" max="17" style="1651" width="10.57421875" hidden="1"/>
  </cols>
  <sheetData>
    <row customHeight="1" ht="22.5" hidden="1">
      <c r="M1" s="271"/>
      <c r="N1" s="271"/>
      <c r="P1" s="271"/>
      <c r="Q1" s="99" t="s">
        <v>14</v>
      </c>
    </row>
    <row customHeight="1" ht="14.25" hidden="1">
      <c r="Q2" s="99">
        <v>0</v>
      </c>
    </row>
    <row customHeight="1" ht="14.25" hidden="1">
      <c r="Q3" s="99">
        <v>0</v>
      </c>
    </row>
    <row customHeight="1" ht="3">
      <c r="C4" s="112"/>
      <c r="D4" s="100"/>
      <c r="E4" s="100"/>
      <c r="F4" s="101"/>
      <c r="G4" s="101"/>
      <c r="Q4" s="99">
        <v>3</v>
      </c>
    </row>
    <row customHeight="1" ht="29.25">
      <c r="C5" s="112"/>
      <c r="D5" s="247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1"/>
      <c r="F5" s="2471"/>
      <c r="G5" s="2472"/>
      <c r="Q5" s="99">
        <v>28</v>
      </c>
    </row>
    <row s="1651" customFormat="1" customHeight="1" ht="18.75">
      <c r="A6" s="898"/>
      <c r="B6" s="433"/>
      <c r="C6" s="392"/>
      <c r="D6" s="2473" t="str">
        <f>IF(org=0,"Не определено",org)</f>
        <v>КГУП "Примтеплоэнерго"</v>
      </c>
      <c r="E6" s="2474"/>
      <c r="F6" s="2474"/>
      <c r="G6" s="2475"/>
      <c r="I6" s="516"/>
      <c r="J6" s="516"/>
      <c r="Q6" s="774">
        <v>18</v>
      </c>
    </row>
    <row customHeight="1" ht="14.699999999999998">
      <c r="C7" s="112"/>
      <c r="D7" s="100"/>
      <c r="E7" s="111"/>
      <c r="F7" s="768"/>
      <c r="G7" s="209"/>
      <c r="Q7" s="99">
        <v>14</v>
      </c>
    </row>
    <row s="1651" customFormat="1" customHeight="1" ht="1.05">
      <c r="A8" s="1685"/>
      <c r="B8" s="1176"/>
      <c r="C8" s="392"/>
      <c r="D8" s="379"/>
      <c r="E8" s="405"/>
      <c r="F8" s="768"/>
      <c r="G8" s="209"/>
      <c r="I8" s="1640"/>
      <c r="J8" s="1640"/>
      <c r="Q8" s="1647">
        <v>1</v>
      </c>
    </row>
    <row customHeight="1" ht="14.699999999999998">
      <c r="C9" s="112"/>
      <c r="D9" s="2225" t="s">
        <v>453</v>
      </c>
      <c r="E9" s="2225"/>
      <c r="F9" s="2225"/>
      <c r="G9" s="2405" t="s">
        <v>454</v>
      </c>
      <c r="Q9" s="99">
        <v>14</v>
      </c>
    </row>
    <row customHeight="1" ht="24">
      <c r="C10" s="112"/>
      <c r="D10" s="121" t="s">
        <v>91</v>
      </c>
      <c r="E10" s="124" t="s">
        <v>455</v>
      </c>
      <c r="F10" s="124" t="s">
        <v>543</v>
      </c>
      <c r="G10" s="2405"/>
      <c r="Q10" s="99">
        <v>23</v>
      </c>
    </row>
    <row customHeight="1" ht="12" hidden="1">
      <c r="C11" s="112"/>
      <c r="D11" s="103"/>
      <c r="E11" s="103"/>
      <c r="F11" s="103"/>
      <c r="G11" s="103"/>
      <c r="Q11" s="99">
        <v>0</v>
      </c>
    </row>
    <row customHeight="1" ht="65.25">
      <c r="A12" s="208"/>
      <c r="C12" s="112"/>
      <c r="D12" s="163">
        <v>1</v>
      </c>
      <c r="E12" s="21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4" t="s">
        <v>459</v>
      </c>
      <c r="G12" s="167"/>
      <c r="Q12" s="99">
        <v>62</v>
      </c>
    </row>
    <row customHeight="1" ht="24">
      <c r="A13" s="208"/>
      <c r="C13" s="112"/>
      <c r="D13" s="163" t="s">
        <v>1174</v>
      </c>
      <c r="E13" s="21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4" t="s">
        <v>459</v>
      </c>
      <c r="G13" s="167"/>
      <c r="Q13" s="99">
        <v>23</v>
      </c>
    </row>
    <row customHeight="1" ht="14.699999999999998">
      <c r="A14" s="208"/>
      <c r="C14" s="112"/>
      <c r="D14" s="163" t="s">
        <v>1210</v>
      </c>
      <c r="E14" s="211"/>
      <c r="F14" s="229"/>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9">
        <v>14</v>
      </c>
    </row>
    <row customHeight="1" ht="15.75">
      <c r="A15" s="208"/>
      <c r="C15" s="112"/>
      <c r="D15" s="125"/>
      <c r="E15" s="365" t="s">
        <v>1270</v>
      </c>
      <c r="F15" s="217"/>
      <c r="G15" s="2187"/>
      <c r="Q15" s="99">
        <v>15</v>
      </c>
    </row>
    <row customHeight="1" ht="14.699999999999998">
      <c r="A16" s="208"/>
      <c r="C16" s="112"/>
      <c r="D16" s="163" t="s">
        <v>1176</v>
      </c>
      <c r="E16" s="21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4" t="s">
        <v>459</v>
      </c>
      <c r="G16" s="353"/>
      <c r="Q16" s="99">
        <v>14</v>
      </c>
    </row>
    <row customHeight="1" ht="14.699999999999998">
      <c r="A17" s="208"/>
      <c r="C17" s="112"/>
      <c r="D17" s="163" t="s">
        <v>1218</v>
      </c>
      <c r="E17" s="211"/>
      <c r="F17" s="401"/>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9">
        <v>14</v>
      </c>
    </row>
    <row s="1651" customFormat="1" customHeight="1" ht="22.049999999999997">
      <c r="A18" s="359"/>
      <c r="B18" s="162"/>
      <c r="C18" s="323"/>
      <c r="D18" s="363"/>
      <c r="E18" s="365" t="s">
        <v>1271</v>
      </c>
      <c r="F18" s="354"/>
      <c r="G18" s="2187"/>
      <c r="I18" s="366"/>
      <c r="J18" s="366"/>
      <c r="Q18" s="358">
        <v>21</v>
      </c>
    </row>
    <row s="1651" customFormat="1" customHeight="1" ht="256.5" hidden="1">
      <c r="A19" s="359"/>
      <c r="B19" s="433"/>
      <c r="C19" s="392"/>
      <c r="D19" s="900" t="s">
        <v>1178</v>
      </c>
      <c r="E19" s="899" t="s">
        <v>1272</v>
      </c>
      <c r="F19" s="401"/>
      <c r="G19" s="353" t="s">
        <v>1273</v>
      </c>
      <c r="I19" s="516"/>
      <c r="J19" s="516"/>
      <c r="Q19" s="774">
        <v>0</v>
      </c>
    </row>
    <row s="1651" customFormat="1" customHeight="1" ht="14.699999999999998">
      <c r="A20" s="359"/>
      <c r="B20" s="162"/>
      <c r="C20" s="323"/>
      <c r="D20" s="901">
        <v>2</v>
      </c>
      <c r="E20" s="346" t="s">
        <v>1274</v>
      </c>
      <c r="F20" s="214" t="s">
        <v>459</v>
      </c>
      <c r="G20" s="353"/>
      <c r="I20" s="366"/>
      <c r="J20" s="366"/>
      <c r="Q20" s="358">
        <v>14</v>
      </c>
    </row>
    <row s="1651" customFormat="1" customHeight="1" ht="18.75" hidden="1">
      <c r="A21" s="359"/>
      <c r="B21" s="162"/>
      <c r="C21" s="323"/>
      <c r="D21" s="349" t="s">
        <v>789</v>
      </c>
      <c r="E21" s="348"/>
      <c r="F21" s="347"/>
      <c r="G21" s="357"/>
      <c r="H21" s="350"/>
      <c r="I21" s="366"/>
      <c r="J21" s="366"/>
      <c r="Q21" s="358">
        <v>0</v>
      </c>
    </row>
    <row customHeight="1" ht="15.75">
      <c r="A22" s="208"/>
      <c r="C22" s="112"/>
      <c r="D22" s="125"/>
      <c r="E22" s="219" t="s">
        <v>475</v>
      </c>
      <c r="F22" s="354"/>
      <c r="G22" s="355"/>
      <c r="Q22" s="99">
        <v>15</v>
      </c>
    </row>
    <row s="1651" customFormat="1" customHeight="1" ht="22.5" hidden="1">
      <c r="A23" s="359"/>
      <c r="B23" s="1176"/>
      <c r="C23" s="392"/>
      <c r="D23" s="1689" t="s">
        <v>107</v>
      </c>
      <c r="E23" s="213" t="s">
        <v>1275</v>
      </c>
      <c r="F23" s="1686" t="s">
        <v>459</v>
      </c>
      <c r="G23" s="361"/>
      <c r="I23" s="1640"/>
      <c r="J23" s="1640"/>
      <c r="Q23" s="1647">
        <v>0</v>
      </c>
    </row>
    <row s="1651" customFormat="1" customHeight="1" ht="14.25" hidden="1">
      <c r="A24" s="359"/>
      <c r="B24" s="1176"/>
      <c r="C24" s="392"/>
      <c r="D24" s="1689" t="s">
        <v>861</v>
      </c>
      <c r="E24" s="1688" t="s">
        <v>1276</v>
      </c>
      <c r="F24" s="1686" t="s">
        <v>459</v>
      </c>
      <c r="G24" s="353"/>
      <c r="I24" s="1640"/>
      <c r="J24" s="1640"/>
      <c r="Q24" s="1647">
        <v>0</v>
      </c>
    </row>
    <row s="1651" customFormat="1" customHeight="1" ht="14.25" hidden="1">
      <c r="A25" s="359"/>
      <c r="B25" s="1176"/>
      <c r="C25" s="392"/>
      <c r="D25" s="1689" t="s">
        <v>864</v>
      </c>
      <c r="E25" s="211"/>
      <c r="F25" s="401"/>
      <c r="G25" s="2185" t="s">
        <v>1277</v>
      </c>
      <c r="I25" s="1640"/>
      <c r="J25" s="1640"/>
      <c r="Q25" s="1647">
        <v>0</v>
      </c>
    </row>
    <row s="1651" customFormat="1" customHeight="1" ht="22.5" hidden="1">
      <c r="A26" s="359"/>
      <c r="B26" s="1176"/>
      <c r="C26" s="392"/>
      <c r="D26" s="363"/>
      <c r="E26" s="365" t="s">
        <v>1278</v>
      </c>
      <c r="F26" s="354"/>
      <c r="G26" s="2187"/>
      <c r="I26" s="1640"/>
      <c r="J26" s="1640"/>
      <c r="Q26" s="1647">
        <v>0</v>
      </c>
    </row>
    <row customHeight="1" ht="3">
      <c r="Q27" s="99">
        <v>3</v>
      </c>
    </row>
    <row customHeight="1" ht="14.699999999999998">
      <c r="D28" s="352"/>
      <c r="E28" s="351"/>
      <c r="F28" s="331"/>
      <c r="G28" s="331"/>
      <c r="H28" s="331"/>
      <c r="I28" s="331"/>
      <c r="J28" s="331"/>
      <c r="K28" s="331"/>
      <c r="L28" s="331"/>
      <c r="M28" s="331"/>
      <c r="N28" s="331"/>
      <c r="O28" s="331"/>
      <c r="P28" s="331"/>
      <c r="Q28" s="99">
        <v>14</v>
      </c>
    </row>
    <row customHeight="1" ht="14.699999999999998">
      <c r="D29" s="352"/>
      <c r="E29" s="598"/>
      <c r="Q29" s="99">
        <v>14</v>
      </c>
    </row>
    <row customHeight="1" ht="14.699999999999998">
      <c r="Q30" s="99">
        <v>14</v>
      </c>
    </row>
    <row customHeight="1" ht="14.699999999999998">
      <c r="E31" s="774"/>
      <c r="Q31" s="99">
        <v>14</v>
      </c>
    </row>
    <row customHeight="1" ht="22.5" hidden="1">
      <c r="A32" s="117" t="s">
        <v>85</v>
      </c>
      <c r="B32" s="162">
        <v>0</v>
      </c>
      <c r="C32" s="113">
        <v>3</v>
      </c>
      <c r="D32" s="99">
        <v>6</v>
      </c>
      <c r="E32" s="99">
        <v>64</v>
      </c>
      <c r="F32" s="99">
        <v>64</v>
      </c>
      <c r="G32" s="99">
        <v>140</v>
      </c>
      <c r="H32" s="99">
        <v>10</v>
      </c>
      <c r="I32" s="171">
        <v>10</v>
      </c>
      <c r="J32" s="171">
        <v>10</v>
      </c>
      <c r="K32" s="99">
        <v>10</v>
      </c>
      <c r="L32" s="99">
        <v>10</v>
      </c>
      <c r="M32" s="99">
        <v>10</v>
      </c>
      <c r="N32" s="99">
        <v>10</v>
      </c>
      <c r="O32" s="99">
        <v>10</v>
      </c>
      <c r="P32" s="99">
        <v>10</v>
      </c>
      <c r="Q32" s="9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0298E-EE0E-56F8-9A13-1150F3D02854}"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G23" sqref="G23"/>
    </sheetView>
  </sheetViews>
  <sheetFormatPr defaultColWidth="10.57421875" customHeight="1" defaultRowHeight="14.25"/>
  <cols>
    <col min="1" max="1" style="1792" width="9.140625" hidden="1" customWidth="1"/>
    <col min="2" max="2" style="1382" width="9.140625" hidden="1" customWidth="1"/>
    <col min="3" max="3" style="360" width="3.00390625" customWidth="1"/>
    <col min="4" max="4" style="1651" width="6.00390625" customWidth="1"/>
    <col min="5" max="5" style="1651" width="63.00390625" customWidth="1"/>
    <col min="6" max="6" style="1651" width="1.7109375" hidden="1" customWidth="1"/>
    <col min="7" max="8" style="1651" width="35.00390625" customWidth="1"/>
    <col min="9" max="9" style="1651" width="91.00390625" customWidth="1"/>
    <col min="10" max="10" style="1651" width="68.00390625" customWidth="1"/>
    <col min="11" max="12" style="1640" width="10.00390625" customWidth="1"/>
    <col min="13" max="13" style="1651" width="10.57421875" hidden="1"/>
  </cols>
  <sheetData>
    <row customHeight="1" ht="22.5" hidden="1">
      <c r="M1" s="99" t="s">
        <v>14</v>
      </c>
    </row>
    <row s="1651" customFormat="1" customHeight="1" ht="18.75" hidden="1">
      <c r="A2" s="1699"/>
      <c r="B2" s="1176"/>
      <c r="C2" s="1746" t="s">
        <v>108</v>
      </c>
      <c r="D2" s="1689"/>
      <c r="E2" s="215"/>
      <c r="F2" s="1686"/>
      <c r="G2" s="1686" t="s">
        <v>459</v>
      </c>
      <c r="H2" s="1177"/>
      <c r="K2" s="1640"/>
      <c r="L2" s="1640"/>
      <c r="M2" s="1647">
        <v>0</v>
      </c>
    </row>
    <row s="1651" customFormat="1" customHeight="1" ht="14.25" hidden="1">
      <c r="A3" s="1378"/>
      <c r="B3" s="1176"/>
      <c r="C3" s="360"/>
      <c r="K3" s="1640"/>
      <c r="L3" s="1640"/>
      <c r="M3" s="1647">
        <v>0</v>
      </c>
    </row>
    <row s="1651" customFormat="1" customHeight="1" ht="18.75" hidden="1">
      <c r="A4" s="1699"/>
      <c r="B4" s="1176"/>
      <c r="C4" s="1746" t="s">
        <v>108</v>
      </c>
      <c r="D4" s="1689"/>
      <c r="E4" s="221" t="s">
        <v>1279</v>
      </c>
      <c r="F4" s="1686"/>
      <c r="G4" s="273"/>
      <c r="H4" s="1686" t="s">
        <v>459</v>
      </c>
      <c r="K4" s="1640"/>
      <c r="L4" s="1640"/>
      <c r="M4" s="1647">
        <v>0</v>
      </c>
    </row>
    <row s="1651" customFormat="1" customHeight="1" ht="14.25" hidden="1">
      <c r="A5" s="1378"/>
      <c r="B5" s="1176"/>
      <c r="C5" s="360"/>
      <c r="K5" s="1640"/>
      <c r="L5" s="1640"/>
      <c r="M5" s="1647">
        <v>0</v>
      </c>
    </row>
    <row s="1651" customFormat="1" customHeight="1" ht="18.75" hidden="1">
      <c r="A6" s="1699"/>
      <c r="B6" s="1176"/>
      <c r="C6" s="1746" t="s">
        <v>108</v>
      </c>
      <c r="D6" s="1689"/>
      <c r="E6" s="222" t="s">
        <v>1280</v>
      </c>
      <c r="F6" s="1686"/>
      <c r="G6" s="273"/>
      <c r="H6" s="1686" t="s">
        <v>459</v>
      </c>
      <c r="K6" s="1640"/>
      <c r="L6" s="1640"/>
      <c r="M6" s="1647">
        <v>0</v>
      </c>
    </row>
    <row s="1651" customFormat="1" customHeight="1" ht="14.25" hidden="1">
      <c r="A7" s="1378"/>
      <c r="B7" s="1176"/>
      <c r="C7" s="360"/>
      <c r="K7" s="1640"/>
      <c r="L7" s="1640"/>
      <c r="M7" s="1647">
        <v>0</v>
      </c>
    </row>
    <row s="1651" customFormat="1" customHeight="1" ht="18.75" hidden="1">
      <c r="A8" s="1699"/>
      <c r="B8" s="1176"/>
      <c r="C8" s="1746" t="s">
        <v>108</v>
      </c>
      <c r="D8" s="1689"/>
      <c r="E8" s="222" t="s">
        <v>1281</v>
      </c>
      <c r="F8" s="1686"/>
      <c r="G8" s="273"/>
      <c r="H8" s="1686" t="s">
        <v>459</v>
      </c>
      <c r="K8" s="1640"/>
      <c r="L8" s="1640"/>
      <c r="M8" s="1647">
        <v>0</v>
      </c>
    </row>
    <row s="1651" customFormat="1" customHeight="1" ht="14.25" hidden="1">
      <c r="A9" s="1378"/>
      <c r="B9" s="1176"/>
      <c r="C9" s="360"/>
      <c r="K9" s="1640"/>
      <c r="L9" s="1640"/>
      <c r="M9" s="1647">
        <v>0</v>
      </c>
    </row>
    <row s="1651" customFormat="1" customHeight="1" ht="18.75" hidden="1">
      <c r="A10" s="1699"/>
      <c r="B10" s="1176"/>
      <c r="C10" s="1746" t="s">
        <v>108</v>
      </c>
      <c r="D10" s="1689"/>
      <c r="E10" s="222" t="s">
        <v>1282</v>
      </c>
      <c r="F10" s="1686"/>
      <c r="G10" s="1690"/>
      <c r="H10" s="1686" t="s">
        <v>459</v>
      </c>
      <c r="K10" s="1640"/>
      <c r="L10" s="1640" t="s">
        <v>1283</v>
      </c>
      <c r="M10" s="1647">
        <v>0</v>
      </c>
    </row>
    <row customHeight="1" ht="14.25" hidden="1">
      <c r="M11" s="99">
        <v>0</v>
      </c>
    </row>
    <row customHeight="1" ht="14.25" hidden="1">
      <c r="M12" s="99">
        <v>0</v>
      </c>
    </row>
    <row customHeight="1" ht="14.699999999999998">
      <c r="C13" s="112"/>
      <c r="D13" s="100"/>
      <c r="E13" s="100"/>
      <c r="F13" s="100"/>
      <c r="G13" s="100"/>
      <c r="H13" s="101"/>
      <c r="I13" s="101"/>
      <c r="M13" s="99">
        <v>14</v>
      </c>
    </row>
    <row customHeight="1" ht="29.25">
      <c r="C14" s="112"/>
      <c r="D14" s="247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1"/>
      <c r="F14" s="2471"/>
      <c r="G14" s="2471"/>
      <c r="H14" s="2472"/>
      <c r="J14" s="1647"/>
      <c r="M14" s="99">
        <v>28</v>
      </c>
    </row>
    <row s="1651" customFormat="1" customHeight="1" ht="14.699999999999998">
      <c r="A15" s="1378"/>
      <c r="B15" s="1176"/>
      <c r="C15" s="392"/>
      <c r="D15" s="2473" t="str">
        <f>IF(org=0,"Не определено",org)</f>
        <v>КГУП "Примтеплоэнерго"</v>
      </c>
      <c r="E15" s="2474"/>
      <c r="F15" s="2474"/>
      <c r="G15" s="2474"/>
      <c r="H15" s="2475"/>
      <c r="J15" s="868"/>
      <c r="K15" s="1640"/>
      <c r="L15" s="1640"/>
      <c r="M15" s="1647">
        <v>14</v>
      </c>
    </row>
    <row customHeight="1" ht="14.699999999999998">
      <c r="C16" s="112"/>
      <c r="D16" s="100"/>
      <c r="E16" s="111"/>
      <c r="F16" s="111"/>
      <c r="G16" s="111"/>
      <c r="H16" s="768"/>
      <c r="I16" s="209"/>
      <c r="M16" s="99">
        <v>14</v>
      </c>
    </row>
    <row s="1651" customFormat="1" customHeight="1" ht="14.25" hidden="1">
      <c r="A17" s="1378"/>
      <c r="B17" s="1176"/>
      <c r="C17" s="392"/>
      <c r="D17" s="379"/>
      <c r="E17" s="405"/>
      <c r="F17" s="405"/>
      <c r="G17" s="405"/>
      <c r="H17" s="768"/>
      <c r="I17" s="209"/>
      <c r="K17" s="1640"/>
      <c r="L17" s="1640"/>
      <c r="M17" s="1647">
        <v>0</v>
      </c>
    </row>
    <row customHeight="1" ht="22.049999999999997">
      <c r="C18" s="112"/>
      <c r="D18" s="2225" t="s">
        <v>453</v>
      </c>
      <c r="E18" s="2225"/>
      <c r="F18" s="2225"/>
      <c r="G18" s="2225"/>
      <c r="H18" s="2225"/>
      <c r="I18" s="2405" t="s">
        <v>454</v>
      </c>
      <c r="M18" s="99">
        <v>21</v>
      </c>
    </row>
    <row customHeight="1" ht="22.049999999999997">
      <c r="C19" s="112"/>
      <c r="D19" s="121" t="s">
        <v>91</v>
      </c>
      <c r="E19" s="124" t="s">
        <v>455</v>
      </c>
      <c r="F19" s="124"/>
      <c r="G19" s="124" t="s">
        <v>456</v>
      </c>
      <c r="H19" s="124" t="s">
        <v>543</v>
      </c>
      <c r="I19" s="2405"/>
      <c r="M19" s="99">
        <v>21</v>
      </c>
    </row>
    <row customHeight="1" ht="12" hidden="1">
      <c r="C20" s="112"/>
      <c r="D20" s="103"/>
      <c r="E20" s="103"/>
      <c r="F20" s="103"/>
      <c r="G20" s="103"/>
      <c r="H20" s="103"/>
      <c r="I20" s="103"/>
      <c r="M20" s="99">
        <v>0</v>
      </c>
    </row>
    <row customHeight="1" ht="14.699999999999998">
      <c r="A21" s="1699"/>
      <c r="C21" s="112"/>
      <c r="D21" s="163">
        <v>1</v>
      </c>
      <c r="E21" s="2477" t="s">
        <v>1284</v>
      </c>
      <c r="F21" s="2477"/>
      <c r="G21" s="2477"/>
      <c r="H21" s="2477"/>
      <c r="I21" s="224"/>
      <c r="M21" s="99">
        <v>14</v>
      </c>
    </row>
    <row customHeight="1" ht="21">
      <c r="A22" s="1699"/>
      <c r="C22" s="112"/>
      <c r="D22" s="163" t="s">
        <v>1174</v>
      </c>
      <c r="E22" s="210" t="s">
        <v>1285</v>
      </c>
      <c r="F22" s="214"/>
      <c r="G22" s="1753">
        <v>45919</v>
      </c>
      <c r="H22" s="214" t="s">
        <v>459</v>
      </c>
      <c r="I22" s="167" t="s">
        <v>1286</v>
      </c>
      <c r="M22" s="99">
        <v>20</v>
      </c>
    </row>
    <row customHeight="1" ht="60">
      <c r="A23" s="1699"/>
      <c r="C23" s="112"/>
      <c r="D23" s="163" t="s">
        <v>1176</v>
      </c>
      <c r="E23" s="210" t="s">
        <v>1287</v>
      </c>
      <c r="F23" s="214"/>
      <c r="G23" s="2838" t="s">
        <v>1288</v>
      </c>
      <c r="H23" s="3387"/>
      <c r="I23" s="274" t="s">
        <v>1289</v>
      </c>
      <c r="M23" s="99">
        <v>57</v>
      </c>
    </row>
    <row customHeight="1" ht="35.25">
      <c r="A24" s="1699"/>
      <c r="B24" s="162">
        <v>3</v>
      </c>
      <c r="C24" s="112"/>
      <c r="D24" s="163">
        <v>2</v>
      </c>
      <c r="E24" s="23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4"/>
      <c r="G24" s="214" t="s">
        <v>459</v>
      </c>
      <c r="H24" s="229" t="s">
        <v>1290</v>
      </c>
      <c r="I24" s="275" t="s">
        <v>784</v>
      </c>
      <c r="M24" s="99">
        <v>14</v>
      </c>
    </row>
    <row customHeight="1" ht="48.29999999999999">
      <c r="A25" s="1699"/>
      <c r="C25" s="112"/>
      <c r="D25" s="163">
        <v>3</v>
      </c>
      <c r="E25" s="2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6"/>
      <c r="G25" s="2476"/>
      <c r="H25" s="2476"/>
      <c r="I25" s="272"/>
      <c r="M25" s="99">
        <v>46</v>
      </c>
    </row>
    <row customHeight="1" ht="35.25">
      <c r="A26" s="1699"/>
      <c r="C26" s="112"/>
      <c r="D26" s="163" t="s">
        <v>477</v>
      </c>
      <c r="E26" s="215" t="s">
        <v>1291</v>
      </c>
      <c r="F26" s="214"/>
      <c r="G26" s="214" t="s">
        <v>459</v>
      </c>
      <c r="H26" s="229" t="s">
        <v>1290</v>
      </c>
      <c r="I26" s="2185" t="s">
        <v>1292</v>
      </c>
      <c r="M26" s="99">
        <v>14</v>
      </c>
    </row>
    <row customHeight="1" ht="15.75">
      <c r="A27" s="1699" t="s">
        <v>141</v>
      </c>
      <c r="C27" s="112"/>
      <c r="D27" s="125"/>
      <c r="E27" s="219" t="s">
        <v>475</v>
      </c>
      <c r="F27" s="220"/>
      <c r="G27" s="220"/>
      <c r="H27" s="217"/>
      <c r="I27" s="2187"/>
      <c r="M27" s="99">
        <v>15</v>
      </c>
    </row>
    <row customHeight="1" ht="39.75">
      <c r="A28" s="1699"/>
      <c r="B28" s="162">
        <v>3</v>
      </c>
      <c r="C28" s="112"/>
      <c r="D28" s="163">
        <v>4</v>
      </c>
      <c r="E28" s="2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6"/>
      <c r="G28" s="2476"/>
      <c r="H28" s="2476"/>
      <c r="I28" s="272"/>
      <c r="M28" s="99">
        <v>38</v>
      </c>
    </row>
    <row customHeight="1" ht="57">
      <c r="A29" s="1699"/>
      <c r="C29" s="112"/>
      <c r="D29" s="163" t="s">
        <v>906</v>
      </c>
      <c r="E29" s="221" t="s">
        <v>1279</v>
      </c>
      <c r="F29" s="214"/>
      <c r="G29" s="273" t="s">
        <v>1293</v>
      </c>
      <c r="H29" s="214" t="s">
        <v>459</v>
      </c>
      <c r="I29" s="2185" t="s">
        <v>1294</v>
      </c>
      <c r="M29" s="99">
        <v>20</v>
      </c>
    </row>
    <row customHeight="1" ht="15.75">
      <c r="A30" s="1699" t="s">
        <v>107</v>
      </c>
      <c r="C30" s="112"/>
      <c r="D30" s="125"/>
      <c r="E30" s="219" t="s">
        <v>475</v>
      </c>
      <c r="F30" s="220"/>
      <c r="G30" s="220"/>
      <c r="H30" s="217"/>
      <c r="I30" s="2187"/>
      <c r="M30" s="99">
        <v>15</v>
      </c>
    </row>
    <row customHeight="1" ht="31.5">
      <c r="A31" s="1699"/>
      <c r="B31" s="162">
        <v>3</v>
      </c>
      <c r="C31" s="112"/>
      <c r="D31" s="163">
        <v>5</v>
      </c>
      <c r="E31" s="2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6"/>
      <c r="G31" s="2476"/>
      <c r="H31" s="2476"/>
      <c r="I31" s="272"/>
      <c r="M31" s="99">
        <v>30</v>
      </c>
    </row>
    <row customHeight="1" ht="27.299999999999997">
      <c r="A32" s="1699"/>
      <c r="C32" s="112"/>
      <c r="D32" s="163" t="s">
        <v>466</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9"/>
      <c r="G32" s="2419"/>
      <c r="H32" s="2419"/>
      <c r="I32" s="272"/>
      <c r="M32" s="99">
        <v>26</v>
      </c>
    </row>
    <row customHeight="1" ht="15">
      <c r="A33" s="1699"/>
      <c r="C33" s="112"/>
      <c r="D33" s="163" t="s">
        <v>1295</v>
      </c>
      <c r="E33" s="222" t="s">
        <v>1280</v>
      </c>
      <c r="F33" s="214"/>
      <c r="G33" s="273" t="s">
        <v>1296</v>
      </c>
      <c r="H33" s="214" t="s">
        <v>459</v>
      </c>
      <c r="I33" s="2185" t="s">
        <v>1297</v>
      </c>
      <c r="M33" s="99">
        <v>14</v>
      </c>
    </row>
    <row customHeight="1" ht="15.75">
      <c r="A34" s="1699" t="s">
        <v>93</v>
      </c>
      <c r="C34" s="112"/>
      <c r="D34" s="125"/>
      <c r="E34" s="220" t="s">
        <v>475</v>
      </c>
      <c r="F34" s="216"/>
      <c r="G34" s="216"/>
      <c r="H34" s="217"/>
      <c r="I34" s="2187"/>
      <c r="M34" s="99">
        <v>15</v>
      </c>
    </row>
    <row customHeight="1" ht="25.2">
      <c r="A35" s="1699"/>
      <c r="C35" s="112"/>
      <c r="D35" s="163" t="s">
        <v>1034</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9"/>
      <c r="G35" s="2419"/>
      <c r="H35" s="2419"/>
      <c r="I35" s="272"/>
      <c r="M35" s="99">
        <v>24</v>
      </c>
    </row>
    <row customHeight="1" ht="15">
      <c r="A36" s="1699"/>
      <c r="C36" s="112"/>
      <c r="D36" s="163" t="s">
        <v>1298</v>
      </c>
      <c r="E36" s="222" t="s">
        <v>1281</v>
      </c>
      <c r="F36" s="214"/>
      <c r="G36" s="273" t="s">
        <v>1299</v>
      </c>
      <c r="H36" s="214" t="s">
        <v>459</v>
      </c>
      <c r="I36" s="2159" t="s">
        <v>1300</v>
      </c>
      <c r="M36" s="99">
        <v>14</v>
      </c>
    </row>
    <row customHeight="1" ht="15.75">
      <c r="A37" s="1699" t="s">
        <v>94</v>
      </c>
      <c r="C37" s="112"/>
      <c r="D37" s="125"/>
      <c r="E37" s="220" t="s">
        <v>475</v>
      </c>
      <c r="F37" s="216"/>
      <c r="G37" s="216"/>
      <c r="H37" s="217"/>
      <c r="I37" s="2159"/>
      <c r="M37" s="99">
        <v>15</v>
      </c>
    </row>
    <row customHeight="1" ht="27.299999999999997">
      <c r="A38" s="1699"/>
      <c r="C38" s="112"/>
      <c r="D38" s="163" t="s">
        <v>1035</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9"/>
      <c r="G38" s="2419"/>
      <c r="H38" s="2419"/>
      <c r="I38" s="272"/>
      <c r="M38" s="99">
        <v>26</v>
      </c>
    </row>
    <row customHeight="1" ht="15">
      <c r="A39" s="1699"/>
      <c r="C39" s="112"/>
      <c r="D39" s="163" t="s">
        <v>1036</v>
      </c>
      <c r="E39" s="222" t="s">
        <v>1282</v>
      </c>
      <c r="F39" s="214"/>
      <c r="G39" s="223" t="s">
        <v>1301</v>
      </c>
      <c r="H39" s="214" t="s">
        <v>459</v>
      </c>
      <c r="I39" s="2185" t="s">
        <v>1302</v>
      </c>
      <c r="L39" s="171" t="s">
        <v>1283</v>
      </c>
      <c r="M39" s="99">
        <v>14</v>
      </c>
    </row>
    <row customHeight="1" ht="15.75">
      <c r="A40" s="1699" t="s">
        <v>122</v>
      </c>
      <c r="C40" s="112"/>
      <c r="D40" s="125"/>
      <c r="E40" s="220" t="s">
        <v>475</v>
      </c>
      <c r="F40" s="216"/>
      <c r="G40" s="216"/>
      <c r="H40" s="217"/>
      <c r="I40" s="2187"/>
      <c r="M40" s="99">
        <v>15</v>
      </c>
    </row>
    <row s="1839" customFormat="1" customHeight="1" ht="3">
      <c r="A41" s="1699"/>
      <c r="K41" s="212"/>
      <c r="L41" s="212"/>
      <c r="M41" s="156">
        <v>3</v>
      </c>
    </row>
    <row customHeight="1" ht="26.25">
      <c r="D42" s="1697" t="s">
        <v>956</v>
      </c>
      <c r="E42" s="23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1"/>
      <c r="G42" s="2301"/>
      <c r="H42" s="2301"/>
      <c r="I42" s="2301"/>
      <c r="M42" s="99">
        <v>25</v>
      </c>
    </row>
    <row customHeight="1" ht="22.5" hidden="1">
      <c r="A43" s="1378" t="s">
        <v>85</v>
      </c>
      <c r="B43" s="162">
        <v>0</v>
      </c>
      <c r="C43" s="113">
        <v>3</v>
      </c>
      <c r="D43" s="99">
        <v>6</v>
      </c>
      <c r="E43" s="99">
        <v>63</v>
      </c>
      <c r="F43" s="99">
        <v>0</v>
      </c>
      <c r="G43" s="99">
        <v>35</v>
      </c>
      <c r="H43" s="99">
        <v>35</v>
      </c>
      <c r="I43" s="99">
        <v>91</v>
      </c>
      <c r="J43" s="99">
        <v>68</v>
      </c>
      <c r="K43" s="171">
        <v>10</v>
      </c>
      <c r="L43" s="171">
        <v>10</v>
      </c>
      <c r="M43" s="9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primtep.ru/" xr:uid="{F47319DF-9273-5EAA-77ED-BBF684EE4D85}"/>
    <hyperlink ref="H24" r:id="rId3" tooltip="https://portal.eias.ru/Portal/DownloadPage.aspx?type=12&amp;guid=ff5ef654-9518-468c-ad56-892eb9b93493" xr:uid="{5BC34634-36B9-E46E-624C-3A3BE7275548}"/>
    <hyperlink ref="H26" r:id="rId4" tooltip="https://portal.eias.ru/Portal/DownloadPage.aspx?type=12&amp;guid=ff5ef654-9518-468c-ad56-892eb9b93493" xr:uid="{43DB3C71-6676-5C2C-7E6D-1EBD008AD56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0BF64-5DB4-0B0E-3EC1-4F8F80388557}"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301" sqref="A301:AH302"/>
    </sheetView>
  </sheetViews>
  <sheetFormatPr defaultColWidth="10.57421875" customHeight="1" defaultRowHeight="14.25"/>
  <cols>
    <col min="1" max="2" style="1795" width="25.140625" hidden="1" customWidth="1"/>
    <col min="3" max="3" style="1703" width="9.140625" hidden="1" customWidth="1"/>
    <col min="4" max="4" style="360" width="3.00390625" customWidth="1"/>
    <col min="5" max="5" style="1651" width="6.00390625" customWidth="1"/>
    <col min="6" max="6" style="1651" width="46.7109375" customWidth="1"/>
    <col min="7" max="7" style="1651" width="35.00390625" customWidth="1"/>
    <col min="8" max="8" style="1651" width="3.00390625" customWidth="1"/>
    <col min="9" max="10" style="1651" width="11.00390625" customWidth="1"/>
    <col min="11" max="12" style="1651" width="35.00390625" customWidth="1"/>
    <col min="13" max="13" style="1651" width="84.00390625" customWidth="1"/>
    <col min="14" max="14" style="1651" width="10.00390625" customWidth="1"/>
    <col min="15" max="16" style="1640" width="10.00390625" customWidth="1"/>
    <col min="17" max="33" style="1651" width="10.00390625" customWidth="1"/>
    <col min="34" max="34" style="1651" width="10.57421875" hidden="1"/>
  </cols>
  <sheetData>
    <row s="1651" customFormat="1" customHeight="1" ht="22.5" hidden="1">
      <c r="A1" s="1795"/>
      <c r="B1" s="1795"/>
      <c r="C1" s="385"/>
      <c r="D1" s="360"/>
      <c r="N1" s="1652">
        <f>_xlfn.IFERROR(MATCH("метод экономически обоснованных расходов (затрат)",OFFER_METHOD,0),0)</f>
        <v>0</v>
      </c>
      <c r="O1" s="1640"/>
      <c r="P1" s="1640"/>
      <c r="T1" s="847"/>
      <c r="AG1" s="271"/>
      <c r="AH1" s="1647" t="s">
        <v>14</v>
      </c>
    </row>
    <row s="1651" customFormat="1" customHeight="1" ht="18.75" hidden="1">
      <c r="A2" s="1796" t="s">
        <v>218</v>
      </c>
      <c r="B2" s="1796" t="s">
        <v>219</v>
      </c>
      <c r="C2" s="385"/>
      <c r="D2" s="360"/>
      <c r="E2" s="1047"/>
      <c r="F2" s="1047"/>
      <c r="G2" s="2443" t="str">
        <f>INDEX(PT_DIFFERENTIATION_NTAR,MATCH(B2,PT_DIFFERENTIATION_NTAR_ID,0))</f>
        <v/>
      </c>
      <c r="H2" s="1880"/>
      <c r="I2" s="1755"/>
      <c r="J2" s="1789"/>
      <c r="K2" s="1881"/>
      <c r="L2" s="1880" t="s">
        <v>459</v>
      </c>
      <c r="M2" s="1891"/>
      <c r="N2" s="350"/>
      <c r="O2" s="1640"/>
      <c r="P2" s="1640"/>
      <c r="AH2" s="1647">
        <v>0</v>
      </c>
    </row>
    <row s="1651" customFormat="1" customHeight="1" ht="18.75" hidden="1">
      <c r="A3" s="1796"/>
      <c r="B3" s="1796"/>
      <c r="C3" s="385" t="s">
        <v>1303</v>
      </c>
      <c r="D3" s="360"/>
      <c r="E3" s="1047"/>
      <c r="F3" s="1047"/>
      <c r="G3" s="2443"/>
      <c r="H3" s="1516"/>
      <c r="I3" s="667" t="s">
        <v>1304</v>
      </c>
      <c r="J3" s="587"/>
      <c r="K3" s="1516"/>
      <c r="L3" s="230"/>
      <c r="M3" s="1891"/>
      <c r="N3" s="350"/>
      <c r="O3" s="1640"/>
      <c r="P3" s="1640"/>
      <c r="AH3" s="1647">
        <v>0</v>
      </c>
    </row>
    <row s="1651" customFormat="1" customHeight="1" ht="14.25" hidden="1">
      <c r="A4" s="1795"/>
      <c r="B4" s="1795"/>
      <c r="C4" s="385"/>
      <c r="D4" s="360"/>
      <c r="N4" s="1652">
        <f>_xlfn.IFERROR(MATCH("метод экономически обоснованных расходов (затрат)",OFFER_METHOD,0),0)</f>
        <v>0</v>
      </c>
      <c r="O4" s="1640"/>
      <c r="P4" s="1640"/>
      <c r="T4" s="847"/>
      <c r="AG4" s="271"/>
      <c r="AH4" s="1647">
        <v>0</v>
      </c>
    </row>
    <row s="1651" customFormat="1" customHeight="1" ht="18.75" hidden="1">
      <c r="A5" s="1796" t="s">
        <v>218</v>
      </c>
      <c r="B5" s="1796" t="s">
        <v>219</v>
      </c>
      <c r="C5" s="385"/>
      <c r="D5" s="360"/>
      <c r="E5" s="1047"/>
      <c r="F5" s="1047"/>
      <c r="G5" s="2443" t="str">
        <f>INDEX(PT_DIFFERENTIATION_NTAR,MATCH(B5,PT_DIFFERENTIATION_NTAR_ID,0))</f>
        <v/>
      </c>
      <c r="H5" s="1880"/>
      <c r="I5" s="1755"/>
      <c r="J5" s="1789"/>
      <c r="K5" s="1794"/>
      <c r="L5" s="1880" t="s">
        <v>459</v>
      </c>
      <c r="M5" s="1891"/>
      <c r="N5" s="350"/>
      <c r="O5" s="1640"/>
      <c r="P5" s="1640"/>
      <c r="AH5" s="1647">
        <v>0</v>
      </c>
    </row>
    <row s="1651" customFormat="1" customHeight="1" ht="18.75" hidden="1">
      <c r="A6" s="1796"/>
      <c r="B6" s="1796"/>
      <c r="C6" s="385" t="s">
        <v>1305</v>
      </c>
      <c r="D6" s="360"/>
      <c r="E6" s="1047"/>
      <c r="F6" s="1047"/>
      <c r="G6" s="2443"/>
      <c r="H6" s="1516"/>
      <c r="I6" s="667" t="s">
        <v>1304</v>
      </c>
      <c r="J6" s="587"/>
      <c r="K6" s="1516"/>
      <c r="L6" s="230"/>
      <c r="M6" s="1891"/>
      <c r="N6" s="350"/>
      <c r="O6" s="1640"/>
      <c r="P6" s="1640"/>
      <c r="AH6" s="1647">
        <v>0</v>
      </c>
    </row>
    <row s="1651" customFormat="1" customHeight="1" ht="14.25" hidden="1">
      <c r="A7" s="1795"/>
      <c r="B7" s="1795"/>
      <c r="C7" s="385"/>
      <c r="D7" s="360"/>
      <c r="N7" s="1652">
        <f>_xlfn.IFERROR(MATCH("метод экономически обоснованных расходов (затрат)",OFFER_METHOD,0),0)</f>
        <v>0</v>
      </c>
      <c r="O7" s="1640"/>
      <c r="P7" s="1640"/>
      <c r="T7" s="847"/>
      <c r="AG7" s="271"/>
      <c r="AH7" s="1647">
        <v>0</v>
      </c>
    </row>
    <row s="1651" customFormat="1" customHeight="1" ht="56.25" hidden="1">
      <c r="A8" s="1796"/>
      <c r="B8" s="1796"/>
      <c r="C8" s="385"/>
      <c r="D8" s="360"/>
      <c r="E8" s="1047"/>
      <c r="F8" s="1047"/>
      <c r="G8" s="1047"/>
      <c r="H8" s="1787"/>
      <c r="I8" s="1755"/>
      <c r="J8" s="1789"/>
      <c r="K8" s="1881"/>
      <c r="L8" s="1787" t="s">
        <v>459</v>
      </c>
      <c r="M8" s="1891"/>
      <c r="N8" s="350"/>
      <c r="O8" s="1640"/>
      <c r="P8" s="1640"/>
      <c r="AH8" s="1647">
        <v>0</v>
      </c>
    </row>
    <row customHeight="1" ht="14.25" hidden="1">
      <c r="T9" s="413"/>
      <c r="AG9" s="271"/>
      <c r="AH9" s="390">
        <v>0</v>
      </c>
    </row>
    <row s="1651" customFormat="1" customHeight="1" ht="56.25" hidden="1">
      <c r="A10" s="1796"/>
      <c r="B10" s="1796"/>
      <c r="C10" s="385"/>
      <c r="D10" s="360"/>
      <c r="E10" s="1047"/>
      <c r="F10" s="1047"/>
      <c r="G10" s="1047"/>
      <c r="H10" s="1786"/>
      <c r="I10" s="1755"/>
      <c r="J10" s="1789"/>
      <c r="K10" s="1794"/>
      <c r="L10" s="1787" t="s">
        <v>459</v>
      </c>
      <c r="M10" s="1891"/>
      <c r="N10" s="350"/>
      <c r="O10" s="1640"/>
      <c r="P10" s="1640"/>
      <c r="AH10" s="1647">
        <v>0</v>
      </c>
    </row>
    <row customHeight="1" ht="14.25" hidden="1">
      <c r="AH11" s="390">
        <v>0</v>
      </c>
    </row>
    <row customHeight="1" ht="14.25" hidden="1">
      <c r="AH12" s="390">
        <v>0</v>
      </c>
    </row>
    <row customHeight="1" ht="6.3">
      <c r="D13" s="392"/>
      <c r="E13" s="379"/>
      <c r="F13" s="379"/>
      <c r="G13" s="379"/>
      <c r="H13" s="379"/>
      <c r="I13" s="379"/>
      <c r="J13" s="379"/>
      <c r="K13" s="379"/>
      <c r="L13" s="101"/>
      <c r="M13" s="101"/>
      <c r="AH13" s="390">
        <v>6</v>
      </c>
    </row>
    <row customHeight="1" ht="14.699999999999998">
      <c r="D14" s="392"/>
      <c r="E14" s="2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1"/>
      <c r="G14" s="2481"/>
      <c r="H14" s="2481"/>
      <c r="I14" s="2481"/>
      <c r="J14" s="2481"/>
      <c r="K14" s="2481"/>
      <c r="L14" s="2481"/>
      <c r="M14" s="236"/>
      <c r="AH14" s="390">
        <v>14</v>
      </c>
    </row>
    <row customHeight="1" ht="6.3">
      <c r="D15" s="392"/>
      <c r="E15" s="379"/>
      <c r="F15" s="405"/>
      <c r="G15" s="405"/>
      <c r="H15" s="405"/>
      <c r="I15" s="405"/>
      <c r="J15" s="405"/>
      <c r="K15" s="405"/>
      <c r="L15" s="338"/>
      <c r="M15" s="209"/>
      <c r="AH15" s="390">
        <v>6</v>
      </c>
    </row>
    <row customHeight="1" ht="24">
      <c r="D16" s="392"/>
      <c r="E16" s="379"/>
      <c r="F16" s="321" t="str">
        <f>"Дата подачи заявления об "&amp;IF(TITLE_DATE_PR_CHANGE="","утверждении","изменении")&amp;" тарифов"</f>
        <v>Дата подачи заявления об изменении тарифов</v>
      </c>
      <c r="G16" s="2280" t="str">
        <f>IF(TITLE_DATE_PR_CHANGE="",IF(TITLE_DATE_PR="","",TITLE_DATE_PR),TITLE_DATE_PR_CHANGE)</f>
        <v>45910</v>
      </c>
      <c r="H16" s="2280"/>
      <c r="I16" s="2280"/>
      <c r="J16" s="2280"/>
      <c r="K16" s="2280"/>
      <c r="L16" s="2280"/>
      <c r="M16" s="414"/>
      <c r="N16" s="342"/>
      <c r="AH16" s="390">
        <v>23</v>
      </c>
    </row>
    <row customHeight="1" ht="24">
      <c r="D17" s="392"/>
      <c r="E17" s="379"/>
      <c r="F17" s="321" t="str">
        <f>"Номер подачи заявления об "&amp;IF(TITLE_DATE_PR_CHANGE="","утверждении","изменении")&amp;" тарифов"</f>
        <v>Номер подачи заявления об изменении тарифов</v>
      </c>
      <c r="G17" s="2267" t="str">
        <f>IF(TITLE_NUMBER_PR_CHANGE="",IF(TITLE_NUMBER_PR="","",TITLE_NUMBER_PR),TITLE_NUMBER_PR_CHANGE)</f>
        <v>37/2</v>
      </c>
      <c r="H17" s="2267"/>
      <c r="I17" s="2267"/>
      <c r="J17" s="2267"/>
      <c r="K17" s="2267"/>
      <c r="L17" s="2267"/>
      <c r="M17" s="414"/>
      <c r="N17" s="342"/>
      <c r="AH17" s="390">
        <v>23</v>
      </c>
    </row>
    <row customHeight="1" ht="14.699999999999998">
      <c r="D18" s="392"/>
      <c r="E18" s="379"/>
      <c r="F18" s="405"/>
      <c r="G18" s="405"/>
      <c r="H18" s="405"/>
      <c r="I18" s="405"/>
      <c r="J18" s="405"/>
      <c r="K18" s="405"/>
      <c r="L18" s="768"/>
      <c r="M18" s="209"/>
      <c r="AH18" s="390">
        <v>14</v>
      </c>
    </row>
    <row customHeight="1" ht="22.049999999999997">
      <c r="D19" s="392"/>
      <c r="E19" s="2225" t="s">
        <v>453</v>
      </c>
      <c r="F19" s="2225"/>
      <c r="G19" s="2225"/>
      <c r="H19" s="2225"/>
      <c r="I19" s="2225"/>
      <c r="J19" s="2225"/>
      <c r="K19" s="2225"/>
      <c r="L19" s="2225"/>
      <c r="M19" s="2405" t="s">
        <v>454</v>
      </c>
      <c r="AH19" s="390">
        <v>21</v>
      </c>
    </row>
    <row customHeight="1" ht="22.049999999999997">
      <c r="D20" s="392"/>
      <c r="E20" s="2293" t="s">
        <v>91</v>
      </c>
      <c r="F20" s="2240" t="s">
        <v>191</v>
      </c>
      <c r="G20" s="2240" t="s">
        <v>192</v>
      </c>
      <c r="H20" s="2402" t="s">
        <v>1306</v>
      </c>
      <c r="I20" s="2403"/>
      <c r="J20" s="2449"/>
      <c r="K20" s="2240" t="s">
        <v>456</v>
      </c>
      <c r="L20" s="2240" t="s">
        <v>543</v>
      </c>
      <c r="M20" s="2405"/>
      <c r="AH20" s="390">
        <v>21</v>
      </c>
    </row>
    <row customHeight="1" ht="22.049999999999997">
      <c r="D21" s="392"/>
      <c r="E21" s="2295"/>
      <c r="F21" s="2241"/>
      <c r="G21" s="2241"/>
      <c r="H21" s="2234" t="s">
        <v>1307</v>
      </c>
      <c r="I21" s="2236"/>
      <c r="J21" s="124" t="s">
        <v>1308</v>
      </c>
      <c r="K21" s="2241"/>
      <c r="L21" s="2241"/>
      <c r="M21" s="2405"/>
      <c r="AH21" s="390">
        <v>21</v>
      </c>
    </row>
    <row customHeight="1" ht="12.75">
      <c r="D22" s="392"/>
      <c r="E22" s="297"/>
      <c r="F22" s="297"/>
      <c r="G22" s="297"/>
      <c r="H22" s="2483"/>
      <c r="I22" s="2483"/>
      <c r="J22" s="297"/>
      <c r="K22" s="297"/>
      <c r="L22" s="297"/>
      <c r="M22" s="297"/>
      <c r="AH22" s="390">
        <v>12</v>
      </c>
    </row>
    <row customHeight="1" ht="19.95">
      <c r="A23" s="1796"/>
      <c r="B23" s="1796"/>
      <c r="D23" s="392"/>
      <c r="E23" s="1882" t="s">
        <v>141</v>
      </c>
      <c r="F23" s="2484" t="str">
        <f>"Предлагаемый метод регулирования"&amp;IF(TEMPLATE_SPHERE="HEAT"," в сфере "&amp;TEMPLATE_SPHERE_RUS,"")</f>
        <v>Предлагаемый метод регулирования в сфере теплоснабжения</v>
      </c>
      <c r="G23" s="2485"/>
      <c r="H23" s="2477"/>
      <c r="I23" s="2477"/>
      <c r="J23" s="2477"/>
      <c r="K23" s="2485" t="s">
        <v>459</v>
      </c>
      <c r="L23" s="2477"/>
      <c r="M23" s="1785"/>
      <c r="N23" s="350"/>
      <c r="AH23" s="390">
        <v>19</v>
      </c>
    </row>
    <row customHeight="1" ht="60.75" hidden="1">
      <c r="A24" s="1796" t="s">
        <v>218</v>
      </c>
      <c r="B24" s="1796" t="s">
        <v>219</v>
      </c>
      <c r="D24" s="2482"/>
      <c r="E24" s="2220"/>
      <c r="F24" s="24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3" t="str">
        <f>INDEX(PT_DIFFERENTIATION_NTAR,MATCH(B24,PT_DIFFERENTIATION_NTAR_ID,0))</f>
        <v/>
      </c>
      <c r="H24" s="1878"/>
      <c r="I24" s="1755"/>
      <c r="J24" s="1789"/>
      <c r="K24" s="1881"/>
      <c r="L24" s="1784" t="s">
        <v>459</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50"/>
      <c r="AH24" s="390">
        <v>0</v>
      </c>
    </row>
    <row s="1651" customFormat="1" customHeight="1" ht="18.75" hidden="1">
      <c r="A25" s="1796"/>
      <c r="B25" s="1796"/>
      <c r="C25" s="385" t="s">
        <v>1303</v>
      </c>
      <c r="D25" s="2482"/>
      <c r="E25" s="2220"/>
      <c r="F25" s="2486"/>
      <c r="G25" s="2443"/>
      <c r="H25" s="1516"/>
      <c r="I25" s="667" t="s">
        <v>1304</v>
      </c>
      <c r="J25" s="587"/>
      <c r="K25" s="1516"/>
      <c r="L25" s="230"/>
      <c r="M25" s="2186"/>
      <c r="N25" s="350"/>
      <c r="O25" s="1640"/>
      <c r="P25" s="1640"/>
      <c r="AH25" s="1647">
        <v>0</v>
      </c>
    </row>
    <row customHeight="1" ht="0.75" hidden="1">
      <c r="A26" s="1796"/>
      <c r="B26" s="1796"/>
      <c r="C26" s="385" t="s">
        <v>1309</v>
      </c>
      <c r="D26" s="2482"/>
      <c r="E26" s="2220"/>
      <c r="F26" s="2399"/>
      <c r="G26" s="416"/>
      <c r="H26" s="1516"/>
      <c r="I26" s="411"/>
      <c r="J26" s="365"/>
      <c r="K26" s="1516"/>
      <c r="L26" s="217"/>
      <c r="M26" s="2186"/>
      <c r="N26" s="350"/>
      <c r="AH26" s="390">
        <v>0</v>
      </c>
    </row>
    <row s="1651" customFormat="1" customHeight="1" ht="45" hidden="1">
      <c r="A27" s="1796" t="s">
        <v>224</v>
      </c>
      <c r="B27" s="1796" t="s">
        <v>225</v>
      </c>
      <c r="C27" s="385"/>
      <c r="D27" s="2478"/>
      <c r="E27" s="2479"/>
      <c r="F27" s="248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3" t="str">
        <f>INDEX(PT_DIFFERENTIATION_NTAR,MATCH(B27,PT_DIFFERENTIATION_NTAR_ID,0))</f>
        <v/>
      </c>
      <c r="H27" s="1878"/>
      <c r="I27" s="1755"/>
      <c r="J27" s="1789"/>
      <c r="K27" s="1881"/>
      <c r="L27" s="1878" t="s">
        <v>459</v>
      </c>
      <c r="M27" s="2186"/>
      <c r="N27" s="350"/>
      <c r="O27" s="1640"/>
      <c r="P27" s="1640"/>
      <c r="AH27" s="1647">
        <v>0</v>
      </c>
    </row>
    <row s="1651" customFormat="1" customHeight="1" ht="18.75" hidden="1">
      <c r="A28" s="1796"/>
      <c r="B28" s="1796"/>
      <c r="C28" s="385" t="s">
        <v>1303</v>
      </c>
      <c r="D28" s="2478"/>
      <c r="E28" s="2479"/>
      <c r="F28" s="2480"/>
      <c r="G28" s="2443"/>
      <c r="H28" s="1516"/>
      <c r="I28" s="667" t="s">
        <v>1304</v>
      </c>
      <c r="J28" s="587"/>
      <c r="K28" s="1516"/>
      <c r="L28" s="230"/>
      <c r="M28" s="2186"/>
      <c r="N28" s="350"/>
      <c r="O28" s="1640"/>
      <c r="P28" s="1640"/>
      <c r="AH28" s="1647">
        <v>0</v>
      </c>
    </row>
    <row s="1651" customFormat="1" customHeight="1" ht="0.75" hidden="1">
      <c r="A29" s="1796"/>
      <c r="B29" s="1796"/>
      <c r="C29" s="385" t="s">
        <v>1309</v>
      </c>
      <c r="D29" s="2478"/>
      <c r="E29" s="2220"/>
      <c r="F29" s="2399"/>
      <c r="G29" s="416"/>
      <c r="H29" s="1516"/>
      <c r="I29" s="667"/>
      <c r="J29" s="587"/>
      <c r="K29" s="1516"/>
      <c r="L29" s="230"/>
      <c r="M29" s="2186"/>
      <c r="N29" s="350"/>
      <c r="O29" s="1640"/>
      <c r="P29" s="1640"/>
      <c r="AH29" s="1647">
        <v>0</v>
      </c>
    </row>
    <row s="1651" customFormat="1" customHeight="1" ht="45" hidden="1">
      <c r="A30" s="1796" t="s">
        <v>230</v>
      </c>
      <c r="B30" s="1796" t="s">
        <v>231</v>
      </c>
      <c r="C30" s="385"/>
      <c r="D30" s="2478"/>
      <c r="E30" s="2220"/>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3" t="str">
        <f>INDEX(PT_DIFFERENTIATION_NTAR,MATCH(B30,PT_DIFFERENTIATION_NTAR_ID,0))</f>
        <v/>
      </c>
      <c r="H30" s="1878"/>
      <c r="I30" s="1755"/>
      <c r="J30" s="1789"/>
      <c r="K30" s="1881"/>
      <c r="L30" s="1878" t="s">
        <v>459</v>
      </c>
      <c r="M30" s="2186"/>
      <c r="N30" s="350"/>
      <c r="O30" s="1640"/>
      <c r="P30" s="1640"/>
      <c r="AH30" s="1647">
        <v>0</v>
      </c>
    </row>
    <row s="1651" customFormat="1" customHeight="1" ht="18.75" hidden="1">
      <c r="A31" s="1796"/>
      <c r="B31" s="1796"/>
      <c r="C31" s="385" t="s">
        <v>1303</v>
      </c>
      <c r="D31" s="2478"/>
      <c r="E31" s="2220"/>
      <c r="F31" s="2399"/>
      <c r="G31" s="2443"/>
      <c r="H31" s="1516"/>
      <c r="I31" s="667" t="s">
        <v>1304</v>
      </c>
      <c r="J31" s="587"/>
      <c r="K31" s="1516"/>
      <c r="L31" s="230"/>
      <c r="M31" s="2186"/>
      <c r="N31" s="350"/>
      <c r="O31" s="1640"/>
      <c r="P31" s="1640"/>
      <c r="AH31" s="1647">
        <v>0</v>
      </c>
    </row>
    <row s="1651" customFormat="1" customHeight="1" ht="0.75" hidden="1">
      <c r="A32" s="1796"/>
      <c r="B32" s="1796"/>
      <c r="C32" s="385" t="s">
        <v>1309</v>
      </c>
      <c r="D32" s="2478"/>
      <c r="E32" s="2220"/>
      <c r="F32" s="2399"/>
      <c r="G32" s="416"/>
      <c r="H32" s="1516"/>
      <c r="I32" s="667"/>
      <c r="J32" s="587"/>
      <c r="K32" s="1516"/>
      <c r="L32" s="230"/>
      <c r="M32" s="2186"/>
      <c r="N32" s="350"/>
      <c r="O32" s="1640"/>
      <c r="P32" s="1640"/>
      <c r="AH32" s="1647">
        <v>0</v>
      </c>
    </row>
    <row s="1651" customFormat="1" customHeight="1" ht="45" hidden="1">
      <c r="A33" s="1796" t="s">
        <v>236</v>
      </c>
      <c r="B33" s="1796" t="s">
        <v>237</v>
      </c>
      <c r="C33" s="385"/>
      <c r="D33" s="2478"/>
      <c r="E33" s="2220"/>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3" t="str">
        <f>INDEX(PT_DIFFERENTIATION_NTAR,MATCH(B33,PT_DIFFERENTIATION_NTAR_ID,0))</f>
        <v/>
      </c>
      <c r="H33" s="1878"/>
      <c r="I33" s="1755"/>
      <c r="J33" s="1789"/>
      <c r="K33" s="1881"/>
      <c r="L33" s="1878" t="s">
        <v>459</v>
      </c>
      <c r="M33" s="2186"/>
      <c r="N33" s="350"/>
      <c r="O33" s="1640"/>
      <c r="P33" s="1640"/>
      <c r="AH33" s="1647">
        <v>0</v>
      </c>
    </row>
    <row s="1651" customFormat="1" customHeight="1" ht="18.75" hidden="1">
      <c r="A34" s="1796"/>
      <c r="B34" s="1796"/>
      <c r="C34" s="385" t="s">
        <v>1303</v>
      </c>
      <c r="D34" s="2478"/>
      <c r="E34" s="2220"/>
      <c r="F34" s="2399"/>
      <c r="G34" s="2443"/>
      <c r="H34" s="1516"/>
      <c r="I34" s="667" t="s">
        <v>1304</v>
      </c>
      <c r="J34" s="587"/>
      <c r="K34" s="1516"/>
      <c r="L34" s="230"/>
      <c r="M34" s="2186"/>
      <c r="N34" s="350"/>
      <c r="O34" s="1640"/>
      <c r="P34" s="1640"/>
      <c r="AH34" s="1647">
        <v>0</v>
      </c>
    </row>
    <row s="1651" customFormat="1" customHeight="1" ht="0.75" hidden="1">
      <c r="A35" s="1796"/>
      <c r="B35" s="1796"/>
      <c r="C35" s="385" t="s">
        <v>1309</v>
      </c>
      <c r="D35" s="2478"/>
      <c r="E35" s="2220"/>
      <c r="F35" s="2399"/>
      <c r="G35" s="416"/>
      <c r="H35" s="1516"/>
      <c r="I35" s="667"/>
      <c r="J35" s="587"/>
      <c r="K35" s="1516"/>
      <c r="L35" s="230"/>
      <c r="M35" s="2186"/>
      <c r="N35" s="350"/>
      <c r="O35" s="1640"/>
      <c r="P35" s="1640"/>
      <c r="AH35" s="1647">
        <v>0</v>
      </c>
    </row>
    <row s="1651" customFormat="1" customHeight="1" ht="18.75" hidden="1">
      <c r="A36" s="1796" t="s">
        <v>242</v>
      </c>
      <c r="B36" s="1796" t="s">
        <v>243</v>
      </c>
      <c r="C36" s="385"/>
      <c r="D36" s="2478"/>
      <c r="E36" s="2220"/>
      <c r="F36" s="2399" t="str">
        <f>INDEX(PT_DIFFERENTIATION_VTAR,MATCH(A36,PT_DIFFERENTIATION_VTAR_ID,0))</f>
        <v>Тарифы на услуги по передаче тепловой энергии</v>
      </c>
      <c r="G36" s="2443" t="str">
        <f>INDEX(PT_DIFFERENTIATION_NTAR,MATCH(B36,PT_DIFFERENTIATION_NTAR_ID,0))</f>
        <v/>
      </c>
      <c r="H36" s="1878"/>
      <c r="I36" s="1755"/>
      <c r="J36" s="1789"/>
      <c r="K36" s="1881"/>
      <c r="L36" s="1878" t="s">
        <v>459</v>
      </c>
      <c r="M36" s="2186"/>
      <c r="N36" s="350"/>
      <c r="O36" s="1640"/>
      <c r="P36" s="1640"/>
      <c r="AH36" s="1647">
        <v>0</v>
      </c>
    </row>
    <row s="1651" customFormat="1" customHeight="1" ht="18.75" hidden="1">
      <c r="A37" s="1796"/>
      <c r="B37" s="1796"/>
      <c r="C37" s="385" t="s">
        <v>1303</v>
      </c>
      <c r="D37" s="2478"/>
      <c r="E37" s="2220"/>
      <c r="F37" s="2399"/>
      <c r="G37" s="2443"/>
      <c r="H37" s="1516"/>
      <c r="I37" s="667" t="s">
        <v>1304</v>
      </c>
      <c r="J37" s="587"/>
      <c r="K37" s="1516"/>
      <c r="L37" s="230"/>
      <c r="M37" s="2186"/>
      <c r="N37" s="350"/>
      <c r="O37" s="1640"/>
      <c r="P37" s="1640"/>
      <c r="AH37" s="1647">
        <v>0</v>
      </c>
    </row>
    <row s="1651" customFormat="1" customHeight="1" ht="0.75" hidden="1">
      <c r="A38" s="1796"/>
      <c r="B38" s="1796"/>
      <c r="C38" s="385" t="s">
        <v>1309</v>
      </c>
      <c r="D38" s="2478"/>
      <c r="E38" s="2220"/>
      <c r="F38" s="2399"/>
      <c r="G38" s="416"/>
      <c r="H38" s="1516"/>
      <c r="I38" s="667"/>
      <c r="J38" s="587"/>
      <c r="K38" s="1516"/>
      <c r="L38" s="230"/>
      <c r="M38" s="2186"/>
      <c r="N38" s="350"/>
      <c r="O38" s="1640"/>
      <c r="P38" s="1640"/>
      <c r="AH38" s="1647">
        <v>0</v>
      </c>
    </row>
    <row s="1651" customFormat="1" customHeight="1" ht="18.75" hidden="1">
      <c r="A39" s="1796" t="s">
        <v>248</v>
      </c>
      <c r="B39" s="1796" t="s">
        <v>249</v>
      </c>
      <c r="C39" s="385"/>
      <c r="D39" s="2478"/>
      <c r="E39" s="2220"/>
      <c r="F39" s="2399" t="str">
        <f>INDEX(PT_DIFFERENTIATION_VTAR,MATCH(A39,PT_DIFFERENTIATION_VTAR_ID,0))</f>
        <v>Тарифы на услуги по передаче теплоносителя</v>
      </c>
      <c r="G39" s="2443" t="str">
        <f>INDEX(PT_DIFFERENTIATION_NTAR,MATCH(B39,PT_DIFFERENTIATION_NTAR_ID,0))</f>
        <v/>
      </c>
      <c r="H39" s="1878"/>
      <c r="I39" s="1755"/>
      <c r="J39" s="1789"/>
      <c r="K39" s="1881"/>
      <c r="L39" s="1878" t="s">
        <v>459</v>
      </c>
      <c r="M39" s="2186"/>
      <c r="N39" s="350"/>
      <c r="O39" s="1640"/>
      <c r="P39" s="1640"/>
      <c r="AH39" s="1647">
        <v>0</v>
      </c>
    </row>
    <row s="1651" customFormat="1" customHeight="1" ht="18.75" hidden="1">
      <c r="A40" s="1796"/>
      <c r="B40" s="1796"/>
      <c r="C40" s="385" t="s">
        <v>1303</v>
      </c>
      <c r="D40" s="2478"/>
      <c r="E40" s="2220"/>
      <c r="F40" s="2399"/>
      <c r="G40" s="2443"/>
      <c r="H40" s="1516"/>
      <c r="I40" s="667" t="s">
        <v>1304</v>
      </c>
      <c r="J40" s="587"/>
      <c r="K40" s="1516"/>
      <c r="L40" s="230"/>
      <c r="M40" s="2186"/>
      <c r="N40" s="350"/>
      <c r="O40" s="1640"/>
      <c r="P40" s="1640"/>
      <c r="AH40" s="1647">
        <v>0</v>
      </c>
    </row>
    <row s="1651" customFormat="1" customHeight="1" ht="0.75" hidden="1">
      <c r="A41" s="1796"/>
      <c r="B41" s="1796"/>
      <c r="C41" s="385" t="s">
        <v>1309</v>
      </c>
      <c r="D41" s="2478"/>
      <c r="E41" s="2220"/>
      <c r="F41" s="2399"/>
      <c r="G41" s="416"/>
      <c r="H41" s="1516"/>
      <c r="I41" s="667"/>
      <c r="J41" s="587"/>
      <c r="K41" s="1516"/>
      <c r="L41" s="230"/>
      <c r="M41" s="2186"/>
      <c r="N41" s="350"/>
      <c r="O41" s="1640"/>
      <c r="P41" s="1640"/>
      <c r="AH41" s="1647">
        <v>0</v>
      </c>
    </row>
    <row s="1651" customFormat="1" customHeight="1" ht="18.75" hidden="1">
      <c r="A42" s="1796" t="s">
        <v>254</v>
      </c>
      <c r="B42" s="1796" t="s">
        <v>255</v>
      </c>
      <c r="C42" s="385"/>
      <c r="D42" s="2478"/>
      <c r="E42" s="2220"/>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3" t="str">
        <f>INDEX(PT_DIFFERENTIATION_NTAR,MATCH(B42,PT_DIFFERENTIATION_NTAR_ID,0))</f>
        <v/>
      </c>
      <c r="H42" s="1878"/>
      <c r="I42" s="1755"/>
      <c r="J42" s="1789"/>
      <c r="K42" s="1881"/>
      <c r="L42" s="1878" t="s">
        <v>459</v>
      </c>
      <c r="M42" s="2186"/>
      <c r="N42" s="350"/>
      <c r="O42" s="1640"/>
      <c r="P42" s="1640"/>
      <c r="AH42" s="1647">
        <v>0</v>
      </c>
    </row>
    <row s="1651" customFormat="1" customHeight="1" ht="18.75" hidden="1">
      <c r="A43" s="1796"/>
      <c r="B43" s="1796"/>
      <c r="C43" s="385" t="s">
        <v>1303</v>
      </c>
      <c r="D43" s="2478"/>
      <c r="E43" s="2220"/>
      <c r="F43" s="2399"/>
      <c r="G43" s="2443"/>
      <c r="H43" s="1516"/>
      <c r="I43" s="667" t="s">
        <v>1304</v>
      </c>
      <c r="J43" s="587"/>
      <c r="K43" s="1516"/>
      <c r="L43" s="230"/>
      <c r="M43" s="2186"/>
      <c r="N43" s="350"/>
      <c r="O43" s="1640"/>
      <c r="P43" s="1640"/>
      <c r="AH43" s="1647">
        <v>0</v>
      </c>
    </row>
    <row s="1651" customFormat="1" customHeight="1" ht="0.75" hidden="1">
      <c r="A44" s="1796"/>
      <c r="B44" s="1796"/>
      <c r="C44" s="385" t="s">
        <v>1309</v>
      </c>
      <c r="D44" s="2478"/>
      <c r="E44" s="2220"/>
      <c r="F44" s="2399"/>
      <c r="G44" s="416"/>
      <c r="H44" s="1516"/>
      <c r="I44" s="667"/>
      <c r="J44" s="587"/>
      <c r="K44" s="1516"/>
      <c r="L44" s="230"/>
      <c r="M44" s="2186"/>
      <c r="N44" s="350"/>
      <c r="O44" s="1640"/>
      <c r="P44" s="1640"/>
      <c r="AH44" s="1647">
        <v>0</v>
      </c>
    </row>
    <row s="1651" customFormat="1" customHeight="1" ht="18.75" hidden="1">
      <c r="A45" s="1796" t="s">
        <v>263</v>
      </c>
      <c r="B45" s="1796" t="s">
        <v>264</v>
      </c>
      <c r="C45" s="385"/>
      <c r="D45" s="2478"/>
      <c r="E45" s="2220"/>
      <c r="F45" s="2399" t="str">
        <f>INDEX(PT_DIFFERENTIATION_VTAR,MATCH(A45,PT_DIFFERENTIATION_VTAR_ID,0))</f>
        <v>Плата за подключение (технологическое присоединение) к системе теплоснабжения</v>
      </c>
      <c r="G45" s="2443" t="str">
        <f>INDEX(PT_DIFFERENTIATION_NTAR,MATCH(B45,PT_DIFFERENTIATION_NTAR_ID,0))</f>
        <v>Расходы на проведение мероприятий по подключению объектов заявителей</v>
      </c>
      <c r="H45" s="1878"/>
      <c r="I45" s="1755"/>
      <c r="J45" s="1789"/>
      <c r="K45" s="1881"/>
      <c r="L45" s="1878" t="s">
        <v>459</v>
      </c>
      <c r="M45" s="2186"/>
      <c r="N45" s="350"/>
      <c r="O45" s="1640"/>
      <c r="P45" s="1640"/>
      <c r="AH45" s="1647">
        <v>0</v>
      </c>
    </row>
    <row s="1651" customFormat="1" customHeight="1" ht="18.75" hidden="1">
      <c r="A46" s="1796"/>
      <c r="B46" s="1796"/>
      <c r="C46" s="385" t="s">
        <v>1303</v>
      </c>
      <c r="D46" s="2478"/>
      <c r="E46" s="2220"/>
      <c r="F46" s="2399"/>
      <c r="G46" s="2443"/>
      <c r="H46" s="1516"/>
      <c r="I46" s="667" t="s">
        <v>1304</v>
      </c>
      <c r="J46" s="587"/>
      <c r="K46" s="1516"/>
      <c r="L46" s="230"/>
      <c r="M46" s="2186"/>
      <c r="N46" s="350"/>
      <c r="O46" s="1640"/>
      <c r="P46" s="1640"/>
      <c r="AH46" s="1647">
        <v>0</v>
      </c>
    </row>
    <row s="1651" customFormat="1" customHeight="1" ht="18.75">
      <c r="A47" s="1839" t="s">
        <v>263</v>
      </c>
      <c r="B47" s="1839" t="s">
        <v>332</v>
      </c>
      <c r="C47" s="1703"/>
      <c r="D47" s="360"/>
      <c r="E47" s="1047"/>
      <c r="F47" s="1047"/>
      <c r="G47" s="2443" t="str">
        <f>INDEX(PT_DIFFERENTIATION_NTAR,MATCH(B47,PT_DIFFERENTIATION_NTAR_ID,0))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47" s="2287"/>
      <c r="I47" s="1755"/>
      <c r="J47" s="1789"/>
      <c r="K47" s="2321"/>
      <c r="L47" s="2287" t="s">
        <v>459</v>
      </c>
      <c r="M47" s="2334"/>
      <c r="N47" s="634"/>
      <c r="O47" s="1640"/>
      <c r="P47" s="1640"/>
      <c r="Q47" s="1651"/>
      <c r="R47" s="1651"/>
      <c r="S47" s="1651"/>
      <c r="T47" s="1651"/>
      <c r="U47" s="1651"/>
      <c r="V47" s="1651"/>
      <c r="W47" s="1651"/>
      <c r="X47" s="1651"/>
      <c r="Y47" s="1651"/>
      <c r="Z47" s="1651"/>
      <c r="AA47" s="1651"/>
      <c r="AB47" s="1651"/>
      <c r="AC47" s="1651"/>
      <c r="AD47" s="1651"/>
      <c r="AE47" s="1651"/>
      <c r="AF47" s="1651"/>
      <c r="AG47" s="1651"/>
      <c r="AH47" s="1651">
        <v>0</v>
      </c>
    </row>
    <row s="1651" customFormat="1" customHeight="1" ht="18.75">
      <c r="A48" s="1839"/>
      <c r="B48" s="1839"/>
      <c r="C48" s="1703" t="s">
        <v>1303</v>
      </c>
      <c r="D48" s="360"/>
      <c r="E48" s="1047"/>
      <c r="F48" s="1047"/>
      <c r="G48" s="2443"/>
      <c r="H48" s="2839"/>
      <c r="I48" s="2840" t="s">
        <v>1304</v>
      </c>
      <c r="J48" s="2841"/>
      <c r="K48" s="2842"/>
      <c r="L48" s="2843"/>
      <c r="M48" s="2334"/>
      <c r="N48" s="634"/>
      <c r="O48" s="1640"/>
      <c r="P48" s="1640"/>
      <c r="Q48" s="1651"/>
      <c r="R48" s="1651"/>
      <c r="S48" s="1651"/>
      <c r="T48" s="1651"/>
      <c r="U48" s="1651"/>
      <c r="V48" s="1651"/>
      <c r="W48" s="1651"/>
      <c r="X48" s="1651"/>
      <c r="Y48" s="1651"/>
      <c r="Z48" s="1651"/>
      <c r="AA48" s="1651"/>
      <c r="AB48" s="1651"/>
      <c r="AC48" s="1651"/>
      <c r="AD48" s="1651"/>
      <c r="AE48" s="1651"/>
      <c r="AF48" s="1651"/>
      <c r="AG48" s="1651"/>
      <c r="AH48" s="1651">
        <v>0</v>
      </c>
    </row>
    <row s="1651" customFormat="1" customHeight="1" ht="0.75" hidden="1">
      <c r="A49" s="1796"/>
      <c r="B49" s="1796"/>
      <c r="C49" s="385" t="s">
        <v>1309</v>
      </c>
      <c r="D49" s="2478"/>
      <c r="E49" s="2220"/>
      <c r="F49" s="2399"/>
      <c r="G49" s="416"/>
      <c r="H49" s="1516"/>
      <c r="I49" s="667"/>
      <c r="J49" s="587"/>
      <c r="K49" s="1516"/>
      <c r="L49" s="230"/>
      <c r="M49" s="2186"/>
      <c r="N49" s="350"/>
      <c r="O49" s="1640"/>
      <c r="P49" s="1640"/>
      <c r="AH49" s="1647">
        <v>0</v>
      </c>
    </row>
    <row s="1651" customFormat="1" customHeight="1" ht="18.75" hidden="1">
      <c r="A50" s="1796" t="s">
        <v>358</v>
      </c>
      <c r="B50" s="1796" t="s">
        <v>359</v>
      </c>
      <c r="C50" s="385"/>
      <c r="D50" s="2478"/>
      <c r="E50" s="2220"/>
      <c r="F50" s="2399" t="str">
        <f>INDEX(PT_DIFFERENTIATION_VTAR,MATCH(A50,PT_DIFFERENTIATION_VTAR_ID,0))</f>
        <v>Плата за подключение (технологическое присоединение) к системе теплоснабжения (индивидуальная)</v>
      </c>
      <c r="G50" s="2443" t="str">
        <f>INDEX(PT_DIFFERENTIATION_NTAR,MATCH(B50,PT_DIFFERENTIATION_NTAR_ID,0))</f>
        <v/>
      </c>
      <c r="H50" s="2005"/>
      <c r="I50" s="1755"/>
      <c r="J50" s="1789"/>
      <c r="K50" s="1881"/>
      <c r="L50" s="2005" t="s">
        <v>459</v>
      </c>
      <c r="M50" s="2186"/>
      <c r="N50" s="350"/>
      <c r="O50" s="1640"/>
      <c r="P50" s="1640"/>
      <c r="AH50" s="1647">
        <v>0</v>
      </c>
    </row>
    <row s="1651" customFormat="1" customHeight="1" ht="18.75" hidden="1">
      <c r="A51" s="1796"/>
      <c r="B51" s="1796"/>
      <c r="C51" s="385" t="s">
        <v>1303</v>
      </c>
      <c r="D51" s="2478"/>
      <c r="E51" s="2220"/>
      <c r="F51" s="2399"/>
      <c r="G51" s="2443"/>
      <c r="H51" s="1516"/>
      <c r="I51" s="667" t="s">
        <v>1304</v>
      </c>
      <c r="J51" s="587"/>
      <c r="K51" s="1516"/>
      <c r="L51" s="230"/>
      <c r="M51" s="2186"/>
      <c r="N51" s="350"/>
      <c r="O51" s="1640"/>
      <c r="P51" s="1640"/>
      <c r="AH51" s="1647">
        <v>0</v>
      </c>
    </row>
    <row s="1651" customFormat="1" customHeight="1" ht="0.75" hidden="1">
      <c r="A52" s="1796"/>
      <c r="B52" s="1796"/>
      <c r="C52" s="385" t="s">
        <v>1309</v>
      </c>
      <c r="D52" s="2478"/>
      <c r="E52" s="2220"/>
      <c r="F52" s="2399"/>
      <c r="G52" s="416"/>
      <c r="H52" s="1516"/>
      <c r="I52" s="667"/>
      <c r="J52" s="587"/>
      <c r="K52" s="1516"/>
      <c r="L52" s="230"/>
      <c r="M52" s="2186"/>
      <c r="N52" s="350"/>
      <c r="O52" s="1640"/>
      <c r="P52" s="1640"/>
      <c r="AH52" s="1647">
        <v>0</v>
      </c>
    </row>
    <row s="1651" customFormat="1" customHeight="1" ht="18.75" hidden="1">
      <c r="A53" s="1796" t="s">
        <v>378</v>
      </c>
      <c r="B53" s="1796" t="s">
        <v>379</v>
      </c>
      <c r="C53" s="385"/>
      <c r="D53" s="2478"/>
      <c r="E53" s="2220"/>
      <c r="F53" s="2399" t="str">
        <f>INDEX(PT_DIFFERENTIATION_VTAR,MATCH(A53,PT_DIFFERENTIATION_VTAR_ID,0))</f>
        <v>Тариф на питьевую воду (питьевое водоснабжение)</v>
      </c>
      <c r="G53" s="2443" t="str">
        <f>INDEX(PT_DIFFERENTIATION_NTAR,MATCH(B53,PT_DIFFERENTIATION_NTAR_ID,0))</f>
        <v/>
      </c>
      <c r="H53" s="1878"/>
      <c r="I53" s="1755"/>
      <c r="J53" s="1789"/>
      <c r="K53" s="1881"/>
      <c r="L53" s="1878" t="s">
        <v>459</v>
      </c>
      <c r="M53" s="2186"/>
      <c r="N53" s="350"/>
      <c r="O53" s="1640"/>
      <c r="P53" s="1640"/>
      <c r="AH53" s="1647">
        <v>0</v>
      </c>
    </row>
    <row s="1651" customFormat="1" customHeight="1" ht="18.75" hidden="1">
      <c r="A54" s="1796"/>
      <c r="B54" s="1796"/>
      <c r="C54" s="385" t="s">
        <v>1303</v>
      </c>
      <c r="D54" s="2478"/>
      <c r="E54" s="2220"/>
      <c r="F54" s="2399"/>
      <c r="G54" s="2443"/>
      <c r="H54" s="1516"/>
      <c r="I54" s="667" t="s">
        <v>1304</v>
      </c>
      <c r="J54" s="587"/>
      <c r="K54" s="1516"/>
      <c r="L54" s="230"/>
      <c r="M54" s="2186"/>
      <c r="N54" s="350"/>
      <c r="O54" s="1640"/>
      <c r="P54" s="1640"/>
      <c r="AH54" s="1647">
        <v>0</v>
      </c>
    </row>
    <row s="1651" customFormat="1" customHeight="1" ht="0.75" hidden="1">
      <c r="A55" s="1796"/>
      <c r="B55" s="1796"/>
      <c r="C55" s="385" t="s">
        <v>1309</v>
      </c>
      <c r="D55" s="2478"/>
      <c r="E55" s="2220"/>
      <c r="F55" s="2399"/>
      <c r="G55" s="416"/>
      <c r="H55" s="1516"/>
      <c r="I55" s="667"/>
      <c r="J55" s="587"/>
      <c r="K55" s="1516"/>
      <c r="L55" s="230"/>
      <c r="M55" s="2186"/>
      <c r="N55" s="350"/>
      <c r="O55" s="1640"/>
      <c r="P55" s="1640"/>
      <c r="AH55" s="1647">
        <v>0</v>
      </c>
    </row>
    <row s="1651" customFormat="1" customHeight="1" ht="18.75" hidden="1">
      <c r="A56" s="1796" t="s">
        <v>383</v>
      </c>
      <c r="B56" s="1796" t="s">
        <v>384</v>
      </c>
      <c r="C56" s="385"/>
      <c r="D56" s="2478"/>
      <c r="E56" s="2220"/>
      <c r="F56" s="2399" t="str">
        <f>INDEX(PT_DIFFERENTIATION_VTAR,MATCH(A56,PT_DIFFERENTIATION_VTAR_ID,0))</f>
        <v>Тариф на техническую воду</v>
      </c>
      <c r="G56" s="2443" t="str">
        <f>INDEX(PT_DIFFERENTIATION_NTAR,MATCH(B56,PT_DIFFERENTIATION_NTAR_ID,0))</f>
        <v/>
      </c>
      <c r="H56" s="1878"/>
      <c r="I56" s="1755"/>
      <c r="J56" s="1789"/>
      <c r="K56" s="1881"/>
      <c r="L56" s="1878" t="s">
        <v>459</v>
      </c>
      <c r="M56" s="2186"/>
      <c r="N56" s="350"/>
      <c r="O56" s="1640"/>
      <c r="P56" s="1640"/>
      <c r="AH56" s="1647">
        <v>0</v>
      </c>
    </row>
    <row s="1651" customFormat="1" customHeight="1" ht="18.75" hidden="1">
      <c r="A57" s="1796"/>
      <c r="B57" s="1796"/>
      <c r="C57" s="385" t="s">
        <v>1303</v>
      </c>
      <c r="D57" s="2478"/>
      <c r="E57" s="2220"/>
      <c r="F57" s="2399"/>
      <c r="G57" s="2443"/>
      <c r="H57" s="1516"/>
      <c r="I57" s="667" t="s">
        <v>1304</v>
      </c>
      <c r="J57" s="587"/>
      <c r="K57" s="1516"/>
      <c r="L57" s="230"/>
      <c r="M57" s="2186"/>
      <c r="N57" s="350"/>
      <c r="O57" s="1640"/>
      <c r="P57" s="1640"/>
      <c r="AH57" s="1647">
        <v>0</v>
      </c>
    </row>
    <row s="1651" customFormat="1" customHeight="1" ht="0.75" hidden="1">
      <c r="A58" s="1796"/>
      <c r="B58" s="1796"/>
      <c r="C58" s="385" t="s">
        <v>1309</v>
      </c>
      <c r="D58" s="2478"/>
      <c r="E58" s="2220"/>
      <c r="F58" s="2399"/>
      <c r="G58" s="416"/>
      <c r="H58" s="1516"/>
      <c r="I58" s="667"/>
      <c r="J58" s="587"/>
      <c r="K58" s="1516"/>
      <c r="L58" s="230"/>
      <c r="M58" s="2186"/>
      <c r="N58" s="350"/>
      <c r="O58" s="1640"/>
      <c r="P58" s="1640"/>
      <c r="AH58" s="1647">
        <v>0</v>
      </c>
    </row>
    <row s="1651" customFormat="1" customHeight="1" ht="18.75" hidden="1">
      <c r="A59" s="1796" t="s">
        <v>388</v>
      </c>
      <c r="B59" s="1796" t="s">
        <v>389</v>
      </c>
      <c r="C59" s="385"/>
      <c r="D59" s="2478"/>
      <c r="E59" s="2220"/>
      <c r="F59" s="2399" t="str">
        <f>INDEX(PT_DIFFERENTIATION_VTAR,MATCH(A59,PT_DIFFERENTIATION_VTAR_ID,0))</f>
        <v>Тариф на транспортировку воды</v>
      </c>
      <c r="G59" s="2443" t="str">
        <f>INDEX(PT_DIFFERENTIATION_NTAR,MATCH(B59,PT_DIFFERENTIATION_NTAR_ID,0))</f>
        <v/>
      </c>
      <c r="H59" s="1878"/>
      <c r="I59" s="1755"/>
      <c r="J59" s="1789"/>
      <c r="K59" s="1881"/>
      <c r="L59" s="1878" t="s">
        <v>459</v>
      </c>
      <c r="M59" s="2186"/>
      <c r="N59" s="350"/>
      <c r="O59" s="1640"/>
      <c r="P59" s="1640"/>
      <c r="AH59" s="1647">
        <v>0</v>
      </c>
    </row>
    <row s="1651" customFormat="1" customHeight="1" ht="18.75" hidden="1">
      <c r="A60" s="1796"/>
      <c r="B60" s="1796"/>
      <c r="C60" s="385" t="s">
        <v>1303</v>
      </c>
      <c r="D60" s="2478"/>
      <c r="E60" s="2220"/>
      <c r="F60" s="2399"/>
      <c r="G60" s="2443"/>
      <c r="H60" s="1516"/>
      <c r="I60" s="667" t="s">
        <v>1304</v>
      </c>
      <c r="J60" s="587"/>
      <c r="K60" s="1516"/>
      <c r="L60" s="230"/>
      <c r="M60" s="2186"/>
      <c r="N60" s="350"/>
      <c r="O60" s="1640"/>
      <c r="P60" s="1640"/>
      <c r="AH60" s="1647">
        <v>0</v>
      </c>
    </row>
    <row s="1651" customFormat="1" customHeight="1" ht="0.75" hidden="1">
      <c r="A61" s="1796"/>
      <c r="B61" s="1796"/>
      <c r="C61" s="385" t="s">
        <v>1309</v>
      </c>
      <c r="D61" s="2478"/>
      <c r="E61" s="2220"/>
      <c r="F61" s="2399"/>
      <c r="G61" s="416"/>
      <c r="H61" s="1516"/>
      <c r="I61" s="667"/>
      <c r="J61" s="587"/>
      <c r="K61" s="1516"/>
      <c r="L61" s="230"/>
      <c r="M61" s="2186"/>
      <c r="N61" s="350"/>
      <c r="O61" s="1640"/>
      <c r="P61" s="1640"/>
      <c r="AH61" s="1647">
        <v>0</v>
      </c>
    </row>
    <row s="1651" customFormat="1" customHeight="1" ht="18.75" hidden="1">
      <c r="A62" s="1796" t="s">
        <v>393</v>
      </c>
      <c r="B62" s="1796" t="s">
        <v>394</v>
      </c>
      <c r="C62" s="385"/>
      <c r="D62" s="2478"/>
      <c r="E62" s="2220"/>
      <c r="F62" s="2399" t="str">
        <f>INDEX(PT_DIFFERENTIATION_VTAR,MATCH(A62,PT_DIFFERENTIATION_VTAR_ID,0))</f>
        <v>Тариф на подвоз воды</v>
      </c>
      <c r="G62" s="2443" t="str">
        <f>INDEX(PT_DIFFERENTIATION_NTAR,MATCH(B62,PT_DIFFERENTIATION_NTAR_ID,0))</f>
        <v/>
      </c>
      <c r="H62" s="1878"/>
      <c r="I62" s="1755"/>
      <c r="J62" s="1789"/>
      <c r="K62" s="1881"/>
      <c r="L62" s="1878" t="s">
        <v>459</v>
      </c>
      <c r="M62" s="2186"/>
      <c r="N62" s="350"/>
      <c r="O62" s="1640"/>
      <c r="P62" s="1640"/>
      <c r="AH62" s="1647">
        <v>0</v>
      </c>
    </row>
    <row s="1651" customFormat="1" customHeight="1" ht="18.75" hidden="1">
      <c r="A63" s="1796"/>
      <c r="B63" s="1796"/>
      <c r="C63" s="385" t="s">
        <v>1303</v>
      </c>
      <c r="D63" s="2478"/>
      <c r="E63" s="2220"/>
      <c r="F63" s="2399"/>
      <c r="G63" s="2443"/>
      <c r="H63" s="1516"/>
      <c r="I63" s="667" t="s">
        <v>1304</v>
      </c>
      <c r="J63" s="587"/>
      <c r="K63" s="1516"/>
      <c r="L63" s="230"/>
      <c r="M63" s="2186"/>
      <c r="N63" s="350"/>
      <c r="O63" s="1640"/>
      <c r="P63" s="1640"/>
      <c r="AH63" s="1647">
        <v>0</v>
      </c>
    </row>
    <row s="1651" customFormat="1" customHeight="1" ht="0.75" hidden="1">
      <c r="A64" s="1796"/>
      <c r="B64" s="1796"/>
      <c r="C64" s="385" t="s">
        <v>1309</v>
      </c>
      <c r="D64" s="2478"/>
      <c r="E64" s="2220"/>
      <c r="F64" s="2399"/>
      <c r="G64" s="416"/>
      <c r="H64" s="1516"/>
      <c r="I64" s="667"/>
      <c r="J64" s="587"/>
      <c r="K64" s="1516"/>
      <c r="L64" s="230"/>
      <c r="M64" s="2186"/>
      <c r="N64" s="350"/>
      <c r="O64" s="1640"/>
      <c r="P64" s="1640"/>
      <c r="AH64" s="1647">
        <v>0</v>
      </c>
    </row>
    <row s="1651" customFormat="1" customHeight="1" ht="18.75" hidden="1">
      <c r="A65" s="1796" t="s">
        <v>398</v>
      </c>
      <c r="B65" s="1796" t="s">
        <v>399</v>
      </c>
      <c r="C65" s="385"/>
      <c r="D65" s="2478"/>
      <c r="E65" s="2220"/>
      <c r="F65" s="2399"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43" t="str">
        <f>INDEX(PT_DIFFERENTIATION_NTAR,MATCH(B65,PT_DIFFERENTIATION_NTAR_ID,0))</f>
        <v/>
      </c>
      <c r="H65" s="1878"/>
      <c r="I65" s="1755"/>
      <c r="J65" s="1789"/>
      <c r="K65" s="1881"/>
      <c r="L65" s="1878" t="s">
        <v>459</v>
      </c>
      <c r="M65" s="2186"/>
      <c r="N65" s="350"/>
      <c r="O65" s="1640"/>
      <c r="P65" s="1640"/>
      <c r="AH65" s="1647">
        <v>0</v>
      </c>
    </row>
    <row s="1651" customFormat="1" customHeight="1" ht="18.75" hidden="1">
      <c r="A66" s="1796"/>
      <c r="B66" s="1796"/>
      <c r="C66" s="385" t="s">
        <v>1303</v>
      </c>
      <c r="D66" s="2478"/>
      <c r="E66" s="2220"/>
      <c r="F66" s="2399"/>
      <c r="G66" s="2443"/>
      <c r="H66" s="1516"/>
      <c r="I66" s="667" t="s">
        <v>1304</v>
      </c>
      <c r="J66" s="587"/>
      <c r="K66" s="1516"/>
      <c r="L66" s="230"/>
      <c r="M66" s="2186"/>
      <c r="N66" s="350"/>
      <c r="O66" s="1640"/>
      <c r="P66" s="1640"/>
      <c r="AH66" s="1647">
        <v>0</v>
      </c>
    </row>
    <row s="1651" customFormat="1" customHeight="1" ht="0.75" hidden="1">
      <c r="A67" s="1796"/>
      <c r="B67" s="1796"/>
      <c r="C67" s="385" t="s">
        <v>1309</v>
      </c>
      <c r="D67" s="2478"/>
      <c r="E67" s="2220"/>
      <c r="F67" s="2399"/>
      <c r="G67" s="416"/>
      <c r="H67" s="1516"/>
      <c r="I67" s="667"/>
      <c r="J67" s="587"/>
      <c r="K67" s="1516"/>
      <c r="L67" s="230"/>
      <c r="M67" s="2186"/>
      <c r="N67" s="350"/>
      <c r="O67" s="1640"/>
      <c r="P67" s="1640"/>
      <c r="AH67" s="1647">
        <v>0</v>
      </c>
    </row>
    <row s="1651" customFormat="1" customHeight="1" ht="18.75" hidden="1">
      <c r="A68" s="1796" t="s">
        <v>403</v>
      </c>
      <c r="B68" s="1796" t="s">
        <v>404</v>
      </c>
      <c r="C68" s="385"/>
      <c r="D68" s="2478"/>
      <c r="E68" s="2220"/>
      <c r="F68" s="2399" t="str">
        <f>INDEX(PT_DIFFERENTIATION_VTAR,MATCH(A68,PT_DIFFERENTIATION_VTAR_ID,0))</f>
        <v>Тариф на горячую воду (горячее водоснабжение)</v>
      </c>
      <c r="G68" s="2443" t="str">
        <f>INDEX(PT_DIFFERENTIATION_NTAR,MATCH(B68,PT_DIFFERENTIATION_NTAR_ID,0))</f>
        <v/>
      </c>
      <c r="H68" s="1878"/>
      <c r="I68" s="1755"/>
      <c r="J68" s="1789"/>
      <c r="K68" s="1881"/>
      <c r="L68" s="1878" t="s">
        <v>459</v>
      </c>
      <c r="M68" s="2186"/>
      <c r="N68" s="350"/>
      <c r="O68" s="1640"/>
      <c r="P68" s="1640"/>
      <c r="AH68" s="1647">
        <v>0</v>
      </c>
    </row>
    <row s="1651" customFormat="1" customHeight="1" ht="18.75" hidden="1">
      <c r="A69" s="1796"/>
      <c r="B69" s="1796"/>
      <c r="C69" s="385" t="s">
        <v>1303</v>
      </c>
      <c r="D69" s="2478"/>
      <c r="E69" s="2220"/>
      <c r="F69" s="2399"/>
      <c r="G69" s="2443"/>
      <c r="H69" s="1516"/>
      <c r="I69" s="667" t="s">
        <v>1304</v>
      </c>
      <c r="J69" s="587"/>
      <c r="K69" s="1516"/>
      <c r="L69" s="230"/>
      <c r="M69" s="2186"/>
      <c r="N69" s="350"/>
      <c r="O69" s="1640"/>
      <c r="P69" s="1640"/>
      <c r="AH69" s="1647">
        <v>0</v>
      </c>
    </row>
    <row s="1651" customFormat="1" customHeight="1" ht="0.75" hidden="1">
      <c r="A70" s="1796"/>
      <c r="B70" s="1796"/>
      <c r="C70" s="385" t="s">
        <v>1309</v>
      </c>
      <c r="D70" s="2478"/>
      <c r="E70" s="2220"/>
      <c r="F70" s="2399"/>
      <c r="G70" s="416"/>
      <c r="H70" s="1516"/>
      <c r="I70" s="667"/>
      <c r="J70" s="587"/>
      <c r="K70" s="1516"/>
      <c r="L70" s="230"/>
      <c r="M70" s="2186"/>
      <c r="N70" s="350"/>
      <c r="O70" s="1640"/>
      <c r="P70" s="1640"/>
      <c r="AH70" s="1647">
        <v>0</v>
      </c>
    </row>
    <row s="1651" customFormat="1" customHeight="1" ht="18.75" hidden="1">
      <c r="A71" s="1796" t="s">
        <v>408</v>
      </c>
      <c r="B71" s="1796" t="s">
        <v>409</v>
      </c>
      <c r="C71" s="385"/>
      <c r="D71" s="2478"/>
      <c r="E71" s="2220"/>
      <c r="F71" s="2399" t="str">
        <f>INDEX(PT_DIFFERENTIATION_VTAR,MATCH(A71,PT_DIFFERENTIATION_VTAR_ID,0))</f>
        <v>Тариф на транспортировку горячей воды</v>
      </c>
      <c r="G71" s="2443" t="str">
        <f>INDEX(PT_DIFFERENTIATION_NTAR,MATCH(B71,PT_DIFFERENTIATION_NTAR_ID,0))</f>
        <v/>
      </c>
      <c r="H71" s="1878"/>
      <c r="I71" s="1755"/>
      <c r="J71" s="1789"/>
      <c r="K71" s="1881"/>
      <c r="L71" s="1878" t="s">
        <v>459</v>
      </c>
      <c r="M71" s="2186"/>
      <c r="N71" s="350"/>
      <c r="O71" s="1640"/>
      <c r="P71" s="1640"/>
      <c r="AH71" s="1647">
        <v>0</v>
      </c>
    </row>
    <row s="1651" customFormat="1" customHeight="1" ht="18.75" hidden="1">
      <c r="A72" s="1796"/>
      <c r="B72" s="1796"/>
      <c r="C72" s="385" t="s">
        <v>1303</v>
      </c>
      <c r="D72" s="2478"/>
      <c r="E72" s="2220"/>
      <c r="F72" s="2399"/>
      <c r="G72" s="2443"/>
      <c r="H72" s="1516"/>
      <c r="I72" s="667" t="s">
        <v>1304</v>
      </c>
      <c r="J72" s="587"/>
      <c r="K72" s="1516"/>
      <c r="L72" s="230"/>
      <c r="M72" s="2186"/>
      <c r="N72" s="350"/>
      <c r="O72" s="1640"/>
      <c r="P72" s="1640"/>
      <c r="AH72" s="1647">
        <v>0</v>
      </c>
    </row>
    <row s="1651" customFormat="1" customHeight="1" ht="0.75" hidden="1">
      <c r="A73" s="1796"/>
      <c r="B73" s="1796"/>
      <c r="C73" s="385" t="s">
        <v>1309</v>
      </c>
      <c r="D73" s="2478"/>
      <c r="E73" s="2220"/>
      <c r="F73" s="2399"/>
      <c r="G73" s="416"/>
      <c r="H73" s="1516"/>
      <c r="I73" s="667"/>
      <c r="J73" s="587"/>
      <c r="K73" s="1516"/>
      <c r="L73" s="230"/>
      <c r="M73" s="2186"/>
      <c r="N73" s="350"/>
      <c r="O73" s="1640"/>
      <c r="P73" s="1640"/>
      <c r="AH73" s="1647">
        <v>0</v>
      </c>
    </row>
    <row s="1651" customFormat="1" customHeight="1" ht="18.75" hidden="1">
      <c r="A74" s="1796" t="s">
        <v>413</v>
      </c>
      <c r="B74" s="1796" t="s">
        <v>414</v>
      </c>
      <c r="C74" s="385"/>
      <c r="D74" s="2478"/>
      <c r="E74" s="2220"/>
      <c r="F74" s="2399" t="str">
        <f>INDEX(PT_DIFFERENTIATION_VTAR,MATCH(A74,PT_DIFFERENTIATION_VTAR_ID,0))</f>
        <v>Тариф на подключение (технологическое присоединение) к централизованной системе горячего водоснабжения</v>
      </c>
      <c r="G74" s="2443" t="str">
        <f>INDEX(PT_DIFFERENTIATION_NTAR,MATCH(B74,PT_DIFFERENTIATION_NTAR_ID,0))</f>
        <v/>
      </c>
      <c r="H74" s="1878"/>
      <c r="I74" s="1755"/>
      <c r="J74" s="1789"/>
      <c r="K74" s="1881"/>
      <c r="L74" s="1878" t="s">
        <v>459</v>
      </c>
      <c r="M74" s="2186"/>
      <c r="N74" s="350"/>
      <c r="O74" s="1640"/>
      <c r="P74" s="1640"/>
      <c r="AH74" s="1647">
        <v>0</v>
      </c>
    </row>
    <row s="1651" customFormat="1" customHeight="1" ht="18.75" hidden="1">
      <c r="A75" s="1796"/>
      <c r="B75" s="1796"/>
      <c r="C75" s="385" t="s">
        <v>1303</v>
      </c>
      <c r="D75" s="2478"/>
      <c r="E75" s="2220"/>
      <c r="F75" s="2399"/>
      <c r="G75" s="2443"/>
      <c r="H75" s="1516"/>
      <c r="I75" s="667" t="s">
        <v>1304</v>
      </c>
      <c r="J75" s="587"/>
      <c r="K75" s="1516"/>
      <c r="L75" s="230"/>
      <c r="M75" s="2186"/>
      <c r="N75" s="350"/>
      <c r="O75" s="1640"/>
      <c r="P75" s="1640"/>
      <c r="AH75" s="1647">
        <v>0</v>
      </c>
    </row>
    <row s="1651" customFormat="1" customHeight="1" ht="0.75" hidden="1">
      <c r="A76" s="1796"/>
      <c r="B76" s="1796"/>
      <c r="C76" s="385" t="s">
        <v>1309</v>
      </c>
      <c r="D76" s="2478"/>
      <c r="E76" s="2220"/>
      <c r="F76" s="2399"/>
      <c r="G76" s="416"/>
      <c r="H76" s="1516"/>
      <c r="I76" s="667"/>
      <c r="J76" s="587"/>
      <c r="K76" s="1516"/>
      <c r="L76" s="230"/>
      <c r="M76" s="2186"/>
      <c r="N76" s="350"/>
      <c r="O76" s="1640"/>
      <c r="P76" s="1640"/>
      <c r="AH76" s="1647">
        <v>0</v>
      </c>
    </row>
    <row s="1651" customFormat="1" customHeight="1" ht="18.75" hidden="1">
      <c r="A77" s="1796" t="s">
        <v>418</v>
      </c>
      <c r="B77" s="1796" t="s">
        <v>419</v>
      </c>
      <c r="C77" s="385"/>
      <c r="D77" s="2478"/>
      <c r="E77" s="2220"/>
      <c r="F77" s="2399" t="str">
        <f>INDEX(PT_DIFFERENTIATION_VTAR,MATCH(A77,PT_DIFFERENTIATION_VTAR_ID,0))</f>
        <v>Тариф на водоотведение</v>
      </c>
      <c r="G77" s="2443" t="str">
        <f>INDEX(PT_DIFFERENTIATION_NTAR,MATCH(B77,PT_DIFFERENTIATION_NTAR_ID,0))</f>
        <v/>
      </c>
      <c r="H77" s="1878"/>
      <c r="I77" s="1755"/>
      <c r="J77" s="1789"/>
      <c r="K77" s="1881"/>
      <c r="L77" s="1878" t="s">
        <v>459</v>
      </c>
      <c r="M77" s="2186"/>
      <c r="N77" s="350"/>
      <c r="O77" s="1640"/>
      <c r="P77" s="1640"/>
      <c r="AH77" s="1647">
        <v>0</v>
      </c>
    </row>
    <row s="1651" customFormat="1" customHeight="1" ht="18.75" hidden="1">
      <c r="A78" s="1796"/>
      <c r="B78" s="1796"/>
      <c r="C78" s="385" t="s">
        <v>1303</v>
      </c>
      <c r="D78" s="2478"/>
      <c r="E78" s="2220"/>
      <c r="F78" s="2399"/>
      <c r="G78" s="2443"/>
      <c r="H78" s="1516"/>
      <c r="I78" s="667" t="s">
        <v>1304</v>
      </c>
      <c r="J78" s="587"/>
      <c r="K78" s="1516"/>
      <c r="L78" s="230"/>
      <c r="M78" s="2186"/>
      <c r="N78" s="350"/>
      <c r="O78" s="1640"/>
      <c r="P78" s="1640"/>
      <c r="AH78" s="1647">
        <v>0</v>
      </c>
    </row>
    <row s="1651" customFormat="1" customHeight="1" ht="0.75" hidden="1">
      <c r="A79" s="1796"/>
      <c r="B79" s="1796"/>
      <c r="C79" s="385" t="s">
        <v>1309</v>
      </c>
      <c r="D79" s="2478"/>
      <c r="E79" s="2220"/>
      <c r="F79" s="2399"/>
      <c r="G79" s="416"/>
      <c r="H79" s="1516"/>
      <c r="I79" s="667"/>
      <c r="J79" s="587"/>
      <c r="K79" s="1516"/>
      <c r="L79" s="230"/>
      <c r="M79" s="2186"/>
      <c r="N79" s="350"/>
      <c r="O79" s="1640"/>
      <c r="P79" s="1640"/>
      <c r="AH79" s="1647">
        <v>0</v>
      </c>
    </row>
    <row s="1651" customFormat="1" customHeight="1" ht="18.75" hidden="1">
      <c r="A80" s="1796" t="s">
        <v>423</v>
      </c>
      <c r="B80" s="1796" t="s">
        <v>424</v>
      </c>
      <c r="C80" s="385"/>
      <c r="D80" s="2478"/>
      <c r="E80" s="2220"/>
      <c r="F80" s="2399" t="str">
        <f>INDEX(PT_DIFFERENTIATION_VTAR,MATCH(A80,PT_DIFFERENTIATION_VTAR_ID,0))</f>
        <v>Тариф на транспортировку сточных вод</v>
      </c>
      <c r="G80" s="2443" t="str">
        <f>INDEX(PT_DIFFERENTIATION_NTAR,MATCH(B80,PT_DIFFERENTIATION_NTAR_ID,0))</f>
        <v/>
      </c>
      <c r="H80" s="1878"/>
      <c r="I80" s="1755"/>
      <c r="J80" s="1789"/>
      <c r="K80" s="1881"/>
      <c r="L80" s="1878" t="s">
        <v>459</v>
      </c>
      <c r="M80" s="2186"/>
      <c r="N80" s="350"/>
      <c r="O80" s="1640"/>
      <c r="P80" s="1640"/>
      <c r="AH80" s="1647">
        <v>0</v>
      </c>
    </row>
    <row s="1651" customFormat="1" customHeight="1" ht="18.75" hidden="1">
      <c r="A81" s="1796"/>
      <c r="B81" s="1796"/>
      <c r="C81" s="385" t="s">
        <v>1303</v>
      </c>
      <c r="D81" s="2478"/>
      <c r="E81" s="2220"/>
      <c r="F81" s="2399"/>
      <c r="G81" s="2443"/>
      <c r="H81" s="1516"/>
      <c r="I81" s="667" t="s">
        <v>1304</v>
      </c>
      <c r="J81" s="587"/>
      <c r="K81" s="1516"/>
      <c r="L81" s="230"/>
      <c r="M81" s="2186"/>
      <c r="N81" s="350"/>
      <c r="O81" s="1640"/>
      <c r="P81" s="1640"/>
      <c r="AH81" s="1647">
        <v>0</v>
      </c>
    </row>
    <row s="1651" customFormat="1" customHeight="1" ht="0.75" hidden="1">
      <c r="A82" s="1796"/>
      <c r="B82" s="1796"/>
      <c r="C82" s="385" t="s">
        <v>1309</v>
      </c>
      <c r="D82" s="2478"/>
      <c r="E82" s="2220"/>
      <c r="F82" s="2399"/>
      <c r="G82" s="416"/>
      <c r="H82" s="1516"/>
      <c r="I82" s="667"/>
      <c r="J82" s="587"/>
      <c r="K82" s="1516"/>
      <c r="L82" s="230"/>
      <c r="M82" s="2186"/>
      <c r="N82" s="350"/>
      <c r="O82" s="1640"/>
      <c r="P82" s="1640"/>
      <c r="AH82" s="1647">
        <v>0</v>
      </c>
    </row>
    <row s="1651" customFormat="1" customHeight="1" ht="18.75" hidden="1">
      <c r="A83" s="1796" t="s">
        <v>428</v>
      </c>
      <c r="B83" s="1796" t="s">
        <v>429</v>
      </c>
      <c r="C83" s="385"/>
      <c r="D83" s="2478"/>
      <c r="E83" s="2220"/>
      <c r="F83" s="2399" t="str">
        <f>INDEX(PT_DIFFERENTIATION_VTAR,MATCH(A83,PT_DIFFERENTIATION_VTAR_ID,0))</f>
        <v>Тариф на подключение (технологическое присоединение) к централизованной системе водоотведения</v>
      </c>
      <c r="G83" s="2443" t="str">
        <f>INDEX(PT_DIFFERENTIATION_NTAR,MATCH(B83,PT_DIFFERENTIATION_NTAR_ID,0))</f>
        <v/>
      </c>
      <c r="H83" s="1878"/>
      <c r="I83" s="1755"/>
      <c r="J83" s="1789"/>
      <c r="K83" s="1881"/>
      <c r="L83" s="1878" t="s">
        <v>459</v>
      </c>
      <c r="M83" s="2186"/>
      <c r="N83" s="350"/>
      <c r="O83" s="1640"/>
      <c r="P83" s="1640"/>
      <c r="AH83" s="1647">
        <v>0</v>
      </c>
    </row>
    <row s="1651" customFormat="1" customHeight="1" ht="18.75" hidden="1">
      <c r="A84" s="1796"/>
      <c r="B84" s="1796"/>
      <c r="C84" s="385" t="s">
        <v>1303</v>
      </c>
      <c r="D84" s="2478"/>
      <c r="E84" s="2220"/>
      <c r="F84" s="2399"/>
      <c r="G84" s="2443"/>
      <c r="H84" s="1516"/>
      <c r="I84" s="667" t="s">
        <v>1304</v>
      </c>
      <c r="J84" s="587"/>
      <c r="K84" s="1516"/>
      <c r="L84" s="230"/>
      <c r="M84" s="2186"/>
      <c r="N84" s="350"/>
      <c r="O84" s="1640"/>
      <c r="P84" s="1640"/>
      <c r="AH84" s="1647">
        <v>0</v>
      </c>
    </row>
    <row s="1651" customFormat="1" customHeight="1" ht="1.05">
      <c r="A85" s="1796"/>
      <c r="B85" s="1796"/>
      <c r="C85" s="385" t="s">
        <v>1309</v>
      </c>
      <c r="D85" s="2478"/>
      <c r="E85" s="2220"/>
      <c r="F85" s="2399"/>
      <c r="G85" s="416"/>
      <c r="H85" s="1516"/>
      <c r="I85" s="667"/>
      <c r="J85" s="587"/>
      <c r="K85" s="1516"/>
      <c r="L85" s="230"/>
      <c r="M85" s="2186"/>
      <c r="N85" s="350"/>
      <c r="O85" s="1640"/>
      <c r="P85" s="1640"/>
      <c r="AH85" s="1647">
        <v>1</v>
      </c>
    </row>
    <row customHeight="1" ht="19.95">
      <c r="A86" s="1796"/>
      <c r="B86" s="1796"/>
      <c r="D86" s="392"/>
      <c r="E86" s="163" t="s">
        <v>107</v>
      </c>
      <c r="F86" s="2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76"/>
      <c r="H86" s="2476"/>
      <c r="I86" s="2476"/>
      <c r="J86" s="2476"/>
      <c r="K86" s="2476"/>
      <c r="L86" s="2476"/>
      <c r="M86" s="313"/>
      <c r="N86" s="350"/>
      <c r="AH86" s="390">
        <v>19</v>
      </c>
    </row>
    <row customHeight="1" ht="35.699999999999996">
      <c r="A87" s="1796"/>
      <c r="B87" s="1796"/>
      <c r="D87" s="392"/>
      <c r="E87" s="415"/>
      <c r="F87" s="214" t="s">
        <v>459</v>
      </c>
      <c r="G87" s="214" t="s">
        <v>459</v>
      </c>
      <c r="H87" s="2234" t="s">
        <v>459</v>
      </c>
      <c r="I87" s="2236"/>
      <c r="J87" s="214" t="s">
        <v>459</v>
      </c>
      <c r="K87" s="214" t="s">
        <v>459</v>
      </c>
      <c r="L87" s="417"/>
      <c r="M87" s="361" t="s">
        <v>1310</v>
      </c>
      <c r="N87" s="350"/>
      <c r="AH87" s="390">
        <v>34</v>
      </c>
    </row>
    <row customHeight="1" ht="19.95">
      <c r="A88" s="1796"/>
      <c r="B88" s="1796"/>
      <c r="D88" s="392"/>
      <c r="E88" s="163" t="s">
        <v>93</v>
      </c>
      <c r="F88" s="2476" t="s">
        <v>1311</v>
      </c>
      <c r="G88" s="2476"/>
      <c r="H88" s="2476"/>
      <c r="I88" s="2476"/>
      <c r="J88" s="2476"/>
      <c r="K88" s="2476"/>
      <c r="L88" s="2476"/>
      <c r="M88" s="313"/>
      <c r="N88" s="350"/>
      <c r="AH88" s="390">
        <v>19</v>
      </c>
    </row>
    <row s="1651" customFormat="1" customHeight="1" ht="60.75" hidden="1">
      <c r="A89" s="1796" t="s">
        <v>218</v>
      </c>
      <c r="B89" s="1796" t="s">
        <v>219</v>
      </c>
      <c r="C89" s="385"/>
      <c r="D89" s="2478"/>
      <c r="E89" s="2220"/>
      <c r="F89" s="239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43" t="str">
        <f>INDEX(PT_DIFFERENTIATION_NTAR,MATCH(B89,PT_DIFFERENTIATION_NTAR_ID,0))</f>
        <v/>
      </c>
      <c r="H89" s="1878"/>
      <c r="I89" s="1755"/>
      <c r="J89" s="1789"/>
      <c r="K89" s="1794"/>
      <c r="L89" s="1878" t="s">
        <v>459</v>
      </c>
      <c r="M8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50"/>
      <c r="O89" s="1640"/>
      <c r="P89" s="1640"/>
      <c r="AH89" s="1647">
        <v>0</v>
      </c>
    </row>
    <row s="1651" customFormat="1" customHeight="1" ht="18.75" hidden="1">
      <c r="A90" s="1796"/>
      <c r="B90" s="1796"/>
      <c r="C90" s="385" t="s">
        <v>1305</v>
      </c>
      <c r="D90" s="2478"/>
      <c r="E90" s="2220"/>
      <c r="F90" s="2399"/>
      <c r="G90" s="2443"/>
      <c r="H90" s="1516"/>
      <c r="I90" s="667" t="s">
        <v>1304</v>
      </c>
      <c r="J90" s="587"/>
      <c r="K90" s="1516"/>
      <c r="L90" s="230"/>
      <c r="M90" s="2186"/>
      <c r="N90" s="350"/>
      <c r="O90" s="1640"/>
      <c r="P90" s="1640"/>
      <c r="AH90" s="1647">
        <v>0</v>
      </c>
    </row>
    <row s="1651" customFormat="1" customHeight="1" ht="0.75" hidden="1">
      <c r="A91" s="1796"/>
      <c r="B91" s="1796"/>
      <c r="C91" s="385" t="s">
        <v>1312</v>
      </c>
      <c r="D91" s="2478"/>
      <c r="E91" s="2220"/>
      <c r="F91" s="2399"/>
      <c r="G91" s="416"/>
      <c r="H91" s="1516"/>
      <c r="I91" s="667"/>
      <c r="J91" s="587"/>
      <c r="K91" s="1516"/>
      <c r="L91" s="230"/>
      <c r="M91" s="2186"/>
      <c r="N91" s="350"/>
      <c r="O91" s="1640"/>
      <c r="P91" s="1640"/>
      <c r="AH91" s="1647">
        <v>0</v>
      </c>
    </row>
    <row s="1651" customFormat="1" customHeight="1" ht="45" hidden="1">
      <c r="A92" s="1796" t="s">
        <v>224</v>
      </c>
      <c r="B92" s="1796" t="s">
        <v>225</v>
      </c>
      <c r="C92" s="385"/>
      <c r="D92" s="2478"/>
      <c r="E92" s="2220"/>
      <c r="F92" s="2399"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43" t="str">
        <f>INDEX(PT_DIFFERENTIATION_NTAR,MATCH(B92,PT_DIFFERENTIATION_NTAR_ID,0))</f>
        <v/>
      </c>
      <c r="H92" s="1878"/>
      <c r="I92" s="1755"/>
      <c r="J92" s="1789"/>
      <c r="K92" s="1794"/>
      <c r="L92" s="1878" t="s">
        <v>459</v>
      </c>
      <c r="M92" s="2187"/>
      <c r="N92" s="350"/>
      <c r="O92" s="1640"/>
      <c r="P92" s="1640"/>
      <c r="AH92" s="1647">
        <v>0</v>
      </c>
    </row>
    <row s="1651" customFormat="1" customHeight="1" ht="18.75" hidden="1">
      <c r="A93" s="1796"/>
      <c r="B93" s="1796"/>
      <c r="C93" s="385" t="s">
        <v>1305</v>
      </c>
      <c r="D93" s="2478"/>
      <c r="E93" s="2220"/>
      <c r="F93" s="2399"/>
      <c r="G93" s="2443"/>
      <c r="H93" s="1516"/>
      <c r="I93" s="667" t="s">
        <v>1304</v>
      </c>
      <c r="J93" s="587"/>
      <c r="K93" s="1516"/>
      <c r="L93" s="230"/>
      <c r="M93" s="1877"/>
      <c r="N93" s="350"/>
      <c r="O93" s="1640"/>
      <c r="P93" s="1640"/>
      <c r="AH93" s="1647">
        <v>0</v>
      </c>
    </row>
    <row s="1651" customFormat="1" customHeight="1" ht="0.75" hidden="1">
      <c r="A94" s="1796"/>
      <c r="B94" s="1796"/>
      <c r="C94" s="385" t="s">
        <v>1312</v>
      </c>
      <c r="D94" s="2478"/>
      <c r="E94" s="2220"/>
      <c r="F94" s="2399"/>
      <c r="G94" s="416"/>
      <c r="H94" s="1516"/>
      <c r="I94" s="667"/>
      <c r="J94" s="587"/>
      <c r="K94" s="1516"/>
      <c r="L94" s="230"/>
      <c r="M94" s="357"/>
      <c r="N94" s="350"/>
      <c r="O94" s="1640"/>
      <c r="P94" s="1640"/>
      <c r="AH94" s="1647">
        <v>0</v>
      </c>
    </row>
    <row s="1651" customFormat="1" customHeight="1" ht="45" hidden="1">
      <c r="A95" s="1796" t="s">
        <v>230</v>
      </c>
      <c r="B95" s="1796" t="s">
        <v>231</v>
      </c>
      <c r="C95" s="385"/>
      <c r="D95" s="2478"/>
      <c r="E95" s="2220"/>
      <c r="F95" s="239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43" t="str">
        <f>INDEX(PT_DIFFERENTIATION_NTAR,MATCH(B95,PT_DIFFERENTIATION_NTAR_ID,0))</f>
        <v/>
      </c>
      <c r="H95" s="1878"/>
      <c r="I95" s="1755"/>
      <c r="J95" s="1789"/>
      <c r="K95" s="1794"/>
      <c r="L95" s="1878" t="s">
        <v>459</v>
      </c>
      <c r="M95" s="357"/>
      <c r="N95" s="350"/>
      <c r="O95" s="1640"/>
      <c r="P95" s="1640"/>
      <c r="AH95" s="1647">
        <v>0</v>
      </c>
    </row>
    <row s="1651" customFormat="1" customHeight="1" ht="18.75" hidden="1">
      <c r="A96" s="1796"/>
      <c r="B96" s="1796"/>
      <c r="C96" s="385" t="s">
        <v>1305</v>
      </c>
      <c r="D96" s="2478"/>
      <c r="E96" s="2220"/>
      <c r="F96" s="2399"/>
      <c r="G96" s="2443"/>
      <c r="H96" s="1516"/>
      <c r="I96" s="667" t="s">
        <v>1304</v>
      </c>
      <c r="J96" s="587"/>
      <c r="K96" s="1516"/>
      <c r="L96" s="230"/>
      <c r="M96" s="357"/>
      <c r="N96" s="350"/>
      <c r="O96" s="1640"/>
      <c r="P96" s="1640"/>
      <c r="AH96" s="1647">
        <v>0</v>
      </c>
    </row>
    <row s="1651" customFormat="1" customHeight="1" ht="0.75" hidden="1">
      <c r="A97" s="1796"/>
      <c r="B97" s="1796"/>
      <c r="C97" s="385" t="s">
        <v>1312</v>
      </c>
      <c r="D97" s="2478"/>
      <c r="E97" s="2220"/>
      <c r="F97" s="2399"/>
      <c r="G97" s="416"/>
      <c r="H97" s="1516"/>
      <c r="I97" s="667"/>
      <c r="J97" s="587"/>
      <c r="K97" s="1516"/>
      <c r="L97" s="230"/>
      <c r="M97" s="357"/>
      <c r="N97" s="350"/>
      <c r="O97" s="1640"/>
      <c r="P97" s="1640"/>
      <c r="AH97" s="1647">
        <v>0</v>
      </c>
    </row>
    <row s="1651" customFormat="1" customHeight="1" ht="45" hidden="1">
      <c r="A98" s="1796" t="s">
        <v>236</v>
      </c>
      <c r="B98" s="1796" t="s">
        <v>237</v>
      </c>
      <c r="C98" s="385"/>
      <c r="D98" s="2478"/>
      <c r="E98" s="2220"/>
      <c r="F98" s="239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43" t="str">
        <f>INDEX(PT_DIFFERENTIATION_NTAR,MATCH(B98,PT_DIFFERENTIATION_NTAR_ID,0))</f>
        <v/>
      </c>
      <c r="H98" s="1878"/>
      <c r="I98" s="1755"/>
      <c r="J98" s="1789"/>
      <c r="K98" s="1794"/>
      <c r="L98" s="1878" t="s">
        <v>459</v>
      </c>
      <c r="M98" s="357"/>
      <c r="N98" s="350"/>
      <c r="O98" s="1640"/>
      <c r="P98" s="1640"/>
      <c r="AH98" s="1647">
        <v>0</v>
      </c>
    </row>
    <row s="1651" customFormat="1" customHeight="1" ht="18.75" hidden="1">
      <c r="A99" s="1796"/>
      <c r="B99" s="1796"/>
      <c r="C99" s="385" t="s">
        <v>1305</v>
      </c>
      <c r="D99" s="2478"/>
      <c r="E99" s="2220"/>
      <c r="F99" s="2399"/>
      <c r="G99" s="2443"/>
      <c r="H99" s="1516"/>
      <c r="I99" s="667" t="s">
        <v>1304</v>
      </c>
      <c r="J99" s="587"/>
      <c r="K99" s="1516"/>
      <c r="L99" s="230"/>
      <c r="M99" s="357"/>
      <c r="N99" s="350"/>
      <c r="O99" s="1640"/>
      <c r="P99" s="1640"/>
      <c r="AH99" s="1647">
        <v>0</v>
      </c>
    </row>
    <row s="1651" customFormat="1" customHeight="1" ht="0.75" hidden="1">
      <c r="A100" s="1796"/>
      <c r="B100" s="1796"/>
      <c r="C100" s="385" t="s">
        <v>1312</v>
      </c>
      <c r="D100" s="2478"/>
      <c r="E100" s="2220"/>
      <c r="F100" s="2399"/>
      <c r="G100" s="416"/>
      <c r="H100" s="1516"/>
      <c r="I100" s="667"/>
      <c r="J100" s="587"/>
      <c r="K100" s="1516"/>
      <c r="L100" s="230"/>
      <c r="M100" s="357"/>
      <c r="N100" s="350"/>
      <c r="O100" s="1640"/>
      <c r="P100" s="1640"/>
      <c r="AH100" s="1647">
        <v>0</v>
      </c>
    </row>
    <row s="1651" customFormat="1" customHeight="1" ht="18.75" hidden="1">
      <c r="A101" s="1796" t="s">
        <v>242</v>
      </c>
      <c r="B101" s="1796" t="s">
        <v>243</v>
      </c>
      <c r="C101" s="385"/>
      <c r="D101" s="2478"/>
      <c r="E101" s="2220"/>
      <c r="F101" s="2399" t="str">
        <f>INDEX(PT_DIFFERENTIATION_VTAR,MATCH(A101,PT_DIFFERENTIATION_VTAR_ID,0))</f>
        <v>Тарифы на услуги по передаче тепловой энергии</v>
      </c>
      <c r="G101" s="2443" t="str">
        <f>INDEX(PT_DIFFERENTIATION_NTAR,MATCH(B101,PT_DIFFERENTIATION_NTAR_ID,0))</f>
        <v/>
      </c>
      <c r="H101" s="1878"/>
      <c r="I101" s="1755"/>
      <c r="J101" s="1789"/>
      <c r="K101" s="1794"/>
      <c r="L101" s="1878" t="s">
        <v>459</v>
      </c>
      <c r="M101" s="357"/>
      <c r="N101" s="350"/>
      <c r="O101" s="1640"/>
      <c r="P101" s="1640"/>
      <c r="AH101" s="1647">
        <v>0</v>
      </c>
    </row>
    <row s="1651" customFormat="1" customHeight="1" ht="18.75" hidden="1">
      <c r="A102" s="1796"/>
      <c r="B102" s="1796"/>
      <c r="C102" s="385" t="s">
        <v>1305</v>
      </c>
      <c r="D102" s="2478"/>
      <c r="E102" s="2220"/>
      <c r="F102" s="2399"/>
      <c r="G102" s="2443"/>
      <c r="H102" s="1516"/>
      <c r="I102" s="667" t="s">
        <v>1304</v>
      </c>
      <c r="J102" s="587"/>
      <c r="K102" s="1516"/>
      <c r="L102" s="230"/>
      <c r="M102" s="357"/>
      <c r="N102" s="350"/>
      <c r="O102" s="1640"/>
      <c r="P102" s="1640"/>
      <c r="AH102" s="1647">
        <v>0</v>
      </c>
    </row>
    <row s="1651" customFormat="1" customHeight="1" ht="0.75" hidden="1">
      <c r="A103" s="1796"/>
      <c r="B103" s="1796"/>
      <c r="C103" s="385" t="s">
        <v>1312</v>
      </c>
      <c r="D103" s="2478"/>
      <c r="E103" s="2220"/>
      <c r="F103" s="2399"/>
      <c r="G103" s="416"/>
      <c r="H103" s="1516"/>
      <c r="I103" s="667"/>
      <c r="J103" s="587"/>
      <c r="K103" s="1516"/>
      <c r="L103" s="230"/>
      <c r="M103" s="357"/>
      <c r="N103" s="350"/>
      <c r="O103" s="1640"/>
      <c r="P103" s="1640"/>
      <c r="AH103" s="1647">
        <v>0</v>
      </c>
    </row>
    <row s="1651" customFormat="1" customHeight="1" ht="18.75" hidden="1">
      <c r="A104" s="1796" t="s">
        <v>248</v>
      </c>
      <c r="B104" s="1796" t="s">
        <v>249</v>
      </c>
      <c r="C104" s="385"/>
      <c r="D104" s="2478"/>
      <c r="E104" s="2220"/>
      <c r="F104" s="2399" t="str">
        <f>INDEX(PT_DIFFERENTIATION_VTAR,MATCH(A104,PT_DIFFERENTIATION_VTAR_ID,0))</f>
        <v>Тарифы на услуги по передаче теплоносителя</v>
      </c>
      <c r="G104" s="2443" t="str">
        <f>INDEX(PT_DIFFERENTIATION_NTAR,MATCH(B104,PT_DIFFERENTIATION_NTAR_ID,0))</f>
        <v/>
      </c>
      <c r="H104" s="1878"/>
      <c r="I104" s="1755"/>
      <c r="J104" s="1789"/>
      <c r="K104" s="1794"/>
      <c r="L104" s="1878" t="s">
        <v>459</v>
      </c>
      <c r="M104" s="357"/>
      <c r="N104" s="350"/>
      <c r="O104" s="1640"/>
      <c r="P104" s="1640"/>
      <c r="AH104" s="1647">
        <v>0</v>
      </c>
    </row>
    <row s="1651" customFormat="1" customHeight="1" ht="18.75" hidden="1">
      <c r="A105" s="1796"/>
      <c r="B105" s="1796"/>
      <c r="C105" s="385" t="s">
        <v>1305</v>
      </c>
      <c r="D105" s="2478"/>
      <c r="E105" s="2220"/>
      <c r="F105" s="2399"/>
      <c r="G105" s="2443"/>
      <c r="H105" s="1516"/>
      <c r="I105" s="667" t="s">
        <v>1304</v>
      </c>
      <c r="J105" s="587"/>
      <c r="K105" s="1516"/>
      <c r="L105" s="230"/>
      <c r="M105" s="357"/>
      <c r="N105" s="350"/>
      <c r="O105" s="1640"/>
      <c r="P105" s="1640"/>
      <c r="AH105" s="1647">
        <v>0</v>
      </c>
    </row>
    <row s="1651" customFormat="1" customHeight="1" ht="0.75" hidden="1">
      <c r="A106" s="1796"/>
      <c r="B106" s="1796"/>
      <c r="C106" s="385" t="s">
        <v>1312</v>
      </c>
      <c r="D106" s="2478"/>
      <c r="E106" s="2220"/>
      <c r="F106" s="2399"/>
      <c r="G106" s="416"/>
      <c r="H106" s="1516"/>
      <c r="I106" s="667"/>
      <c r="J106" s="587"/>
      <c r="K106" s="1516"/>
      <c r="L106" s="230"/>
      <c r="M106" s="357"/>
      <c r="N106" s="350"/>
      <c r="O106" s="1640"/>
      <c r="P106" s="1640"/>
      <c r="AH106" s="1647">
        <v>0</v>
      </c>
    </row>
    <row s="1651" customFormat="1" customHeight="1" ht="18.75" hidden="1">
      <c r="A107" s="1796" t="s">
        <v>254</v>
      </c>
      <c r="B107" s="1796" t="s">
        <v>255</v>
      </c>
      <c r="C107" s="385"/>
      <c r="D107" s="2478"/>
      <c r="E107" s="2220"/>
      <c r="F107" s="239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43" t="str">
        <f>INDEX(PT_DIFFERENTIATION_NTAR,MATCH(B107,PT_DIFFERENTIATION_NTAR_ID,0))</f>
        <v/>
      </c>
      <c r="H107" s="1878"/>
      <c r="I107" s="1755"/>
      <c r="J107" s="1789"/>
      <c r="K107" s="1794"/>
      <c r="L107" s="1878" t="s">
        <v>459</v>
      </c>
      <c r="M107" s="357"/>
      <c r="N107" s="350"/>
      <c r="O107" s="1640"/>
      <c r="P107" s="1640"/>
      <c r="AH107" s="1647">
        <v>0</v>
      </c>
    </row>
    <row s="1651" customFormat="1" customHeight="1" ht="18.75" hidden="1">
      <c r="A108" s="1796"/>
      <c r="B108" s="1796"/>
      <c r="C108" s="385" t="s">
        <v>1305</v>
      </c>
      <c r="D108" s="2478"/>
      <c r="E108" s="2220"/>
      <c r="F108" s="2399"/>
      <c r="G108" s="2443"/>
      <c r="H108" s="1516"/>
      <c r="I108" s="667" t="s">
        <v>1304</v>
      </c>
      <c r="J108" s="587"/>
      <c r="K108" s="1516"/>
      <c r="L108" s="230"/>
      <c r="M108" s="357"/>
      <c r="N108" s="350"/>
      <c r="O108" s="1640"/>
      <c r="P108" s="1640"/>
      <c r="AH108" s="1647">
        <v>0</v>
      </c>
    </row>
    <row s="1651" customFormat="1" customHeight="1" ht="0.75" hidden="1">
      <c r="A109" s="1796"/>
      <c r="B109" s="1796"/>
      <c r="C109" s="385" t="s">
        <v>1312</v>
      </c>
      <c r="D109" s="2478"/>
      <c r="E109" s="2220"/>
      <c r="F109" s="2399"/>
      <c r="G109" s="416"/>
      <c r="H109" s="1516"/>
      <c r="I109" s="667"/>
      <c r="J109" s="587"/>
      <c r="K109" s="1516"/>
      <c r="L109" s="230"/>
      <c r="M109" s="357"/>
      <c r="N109" s="350"/>
      <c r="O109" s="1640"/>
      <c r="P109" s="1640"/>
      <c r="AH109" s="1647">
        <v>0</v>
      </c>
    </row>
    <row s="1651" customFormat="1" customHeight="1" ht="18.75" hidden="1">
      <c r="A110" s="1796" t="s">
        <v>263</v>
      </c>
      <c r="B110" s="1796" t="s">
        <v>264</v>
      </c>
      <c r="C110" s="385"/>
      <c r="D110" s="2478"/>
      <c r="E110" s="2220"/>
      <c r="F110" s="2399" t="str">
        <f>INDEX(PT_DIFFERENTIATION_VTAR,MATCH(A110,PT_DIFFERENTIATION_VTAR_ID,0))</f>
        <v>Плата за подключение (технологическое присоединение) к системе теплоснабжения</v>
      </c>
      <c r="G110" s="2443" t="str">
        <f>INDEX(PT_DIFFERENTIATION_NTAR,MATCH(B110,PT_DIFFERENTIATION_NTAR_ID,0))</f>
        <v>Расходы на проведение мероприятий по подключению объектов заявителей</v>
      </c>
      <c r="H110" s="1878"/>
      <c r="I110" s="1755"/>
      <c r="J110" s="1789"/>
      <c r="K110" s="1794"/>
      <c r="L110" s="1878" t="s">
        <v>459</v>
      </c>
      <c r="M110" s="357"/>
      <c r="N110" s="350"/>
      <c r="O110" s="1640"/>
      <c r="P110" s="1640"/>
      <c r="AH110" s="1647">
        <v>0</v>
      </c>
    </row>
    <row s="1651" customFormat="1" customHeight="1" ht="18.75" hidden="1">
      <c r="A111" s="1796"/>
      <c r="B111" s="1796"/>
      <c r="C111" s="385" t="s">
        <v>1305</v>
      </c>
      <c r="D111" s="2478"/>
      <c r="E111" s="2220"/>
      <c r="F111" s="2399"/>
      <c r="G111" s="2443"/>
      <c r="H111" s="1516"/>
      <c r="I111" s="667" t="s">
        <v>1304</v>
      </c>
      <c r="J111" s="587"/>
      <c r="K111" s="1516"/>
      <c r="L111" s="230"/>
      <c r="M111" s="357"/>
      <c r="N111" s="350"/>
      <c r="O111" s="1640"/>
      <c r="P111" s="1640"/>
      <c r="AH111" s="1647">
        <v>0</v>
      </c>
    </row>
    <row s="1651" customFormat="1" customHeight="1" ht="18.75">
      <c r="A112" s="1839" t="s">
        <v>263</v>
      </c>
      <c r="B112" s="1839" t="s">
        <v>332</v>
      </c>
      <c r="C112" s="1703"/>
      <c r="D112" s="360"/>
      <c r="E112" s="1047"/>
      <c r="F112" s="1047"/>
      <c r="G112" s="2443" t="str">
        <f>INDEX(PT_DIFFERENTIATION_NTAR,MATCH(B112,PT_DIFFERENTIATION_NTAR_ID,0))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112" s="2287"/>
      <c r="I112" s="1755"/>
      <c r="J112" s="1789"/>
      <c r="K112" s="1794"/>
      <c r="L112" s="2287" t="s">
        <v>459</v>
      </c>
      <c r="M112" s="2334"/>
      <c r="N112" s="634"/>
      <c r="O112" s="1640"/>
      <c r="P112" s="1640"/>
      <c r="Q112" s="1651"/>
      <c r="R112" s="1651"/>
      <c r="S112" s="1651"/>
      <c r="T112" s="1651"/>
      <c r="U112" s="1651"/>
      <c r="V112" s="1651"/>
      <c r="W112" s="1651"/>
      <c r="X112" s="1651"/>
      <c r="Y112" s="1651"/>
      <c r="Z112" s="1651"/>
      <c r="AA112" s="1651"/>
      <c r="AB112" s="1651"/>
      <c r="AC112" s="1651"/>
      <c r="AD112" s="1651"/>
      <c r="AE112" s="1651"/>
      <c r="AF112" s="1651"/>
      <c r="AG112" s="1651"/>
      <c r="AH112" s="1651">
        <v>0</v>
      </c>
    </row>
    <row s="1651" customFormat="1" customHeight="1" ht="18.75">
      <c r="A113" s="1839"/>
      <c r="B113" s="1839"/>
      <c r="C113" s="1703" t="s">
        <v>1305</v>
      </c>
      <c r="D113" s="360"/>
      <c r="E113" s="1047"/>
      <c r="F113" s="1047"/>
      <c r="G113" s="2443"/>
      <c r="H113" s="2844"/>
      <c r="I113" s="2845" t="s">
        <v>1304</v>
      </c>
      <c r="J113" s="2846"/>
      <c r="K113" s="2847"/>
      <c r="L113" s="2848"/>
      <c r="M113" s="2334"/>
      <c r="N113" s="634"/>
      <c r="O113" s="1640"/>
      <c r="P113" s="1640"/>
      <c r="Q113" s="1651"/>
      <c r="R113" s="1651"/>
      <c r="S113" s="1651"/>
      <c r="T113" s="1651"/>
      <c r="U113" s="1651"/>
      <c r="V113" s="1651"/>
      <c r="W113" s="1651"/>
      <c r="X113" s="1651"/>
      <c r="Y113" s="1651"/>
      <c r="Z113" s="1651"/>
      <c r="AA113" s="1651"/>
      <c r="AB113" s="1651"/>
      <c r="AC113" s="1651"/>
      <c r="AD113" s="1651"/>
      <c r="AE113" s="1651"/>
      <c r="AF113" s="1651"/>
      <c r="AG113" s="1651"/>
      <c r="AH113" s="1651">
        <v>0</v>
      </c>
    </row>
    <row s="1651" customFormat="1" customHeight="1" ht="0.75" hidden="1">
      <c r="A114" s="1796"/>
      <c r="B114" s="1796"/>
      <c r="C114" s="385" t="s">
        <v>1312</v>
      </c>
      <c r="D114" s="2478"/>
      <c r="E114" s="2220"/>
      <c r="F114" s="2399"/>
      <c r="G114" s="416"/>
      <c r="H114" s="1516"/>
      <c r="I114" s="667"/>
      <c r="J114" s="587"/>
      <c r="K114" s="1516"/>
      <c r="L114" s="230"/>
      <c r="M114" s="357"/>
      <c r="N114" s="350"/>
      <c r="O114" s="1640"/>
      <c r="P114" s="1640"/>
      <c r="AH114" s="1647">
        <v>0</v>
      </c>
    </row>
    <row s="1651" customFormat="1" customHeight="1" ht="18.75" hidden="1">
      <c r="A115" s="1796" t="s">
        <v>358</v>
      </c>
      <c r="B115" s="1796" t="s">
        <v>359</v>
      </c>
      <c r="C115" s="385"/>
      <c r="D115" s="2478"/>
      <c r="E115" s="2220"/>
      <c r="F115" s="2399" t="str">
        <f>INDEX(PT_DIFFERENTIATION_VTAR,MATCH(A115,PT_DIFFERENTIATION_VTAR_ID,0))</f>
        <v>Плата за подключение (технологическое присоединение) к системе теплоснабжения (индивидуальная)</v>
      </c>
      <c r="G115" s="2443" t="str">
        <f>INDEX(PT_DIFFERENTIATION_NTAR,MATCH(B115,PT_DIFFERENTIATION_NTAR_ID,0))</f>
        <v/>
      </c>
      <c r="H115" s="2005"/>
      <c r="I115" s="1755"/>
      <c r="J115" s="1789"/>
      <c r="K115" s="1794"/>
      <c r="L115" s="2005" t="s">
        <v>459</v>
      </c>
      <c r="M115" s="357"/>
      <c r="N115" s="350"/>
      <c r="O115" s="1640"/>
      <c r="P115" s="1640"/>
      <c r="AH115" s="1647">
        <v>0</v>
      </c>
    </row>
    <row s="1651" customFormat="1" customHeight="1" ht="18.75" hidden="1">
      <c r="A116" s="1796"/>
      <c r="B116" s="1796"/>
      <c r="C116" s="385" t="s">
        <v>1305</v>
      </c>
      <c r="D116" s="2478"/>
      <c r="E116" s="2220"/>
      <c r="F116" s="2399"/>
      <c r="G116" s="2443"/>
      <c r="H116" s="1516"/>
      <c r="I116" s="667" t="s">
        <v>1304</v>
      </c>
      <c r="J116" s="587"/>
      <c r="K116" s="1516"/>
      <c r="L116" s="230"/>
      <c r="M116" s="357"/>
      <c r="N116" s="350"/>
      <c r="O116" s="1640"/>
      <c r="P116" s="1640"/>
      <c r="AH116" s="1647">
        <v>0</v>
      </c>
    </row>
    <row s="1651" customFormat="1" customHeight="1" ht="0.75" hidden="1">
      <c r="A117" s="1796"/>
      <c r="B117" s="1796"/>
      <c r="C117" s="385" t="s">
        <v>1312</v>
      </c>
      <c r="D117" s="2478"/>
      <c r="E117" s="2220"/>
      <c r="F117" s="2399"/>
      <c r="G117" s="416"/>
      <c r="H117" s="1516"/>
      <c r="I117" s="667"/>
      <c r="J117" s="587"/>
      <c r="K117" s="1516"/>
      <c r="L117" s="230"/>
      <c r="M117" s="357"/>
      <c r="N117" s="350"/>
      <c r="O117" s="1640"/>
      <c r="P117" s="1640"/>
      <c r="AH117" s="1647">
        <v>0</v>
      </c>
    </row>
    <row s="1651" customFormat="1" customHeight="1" ht="18.75" hidden="1">
      <c r="A118" s="1796" t="s">
        <v>378</v>
      </c>
      <c r="B118" s="1796" t="s">
        <v>379</v>
      </c>
      <c r="C118" s="385"/>
      <c r="D118" s="2478"/>
      <c r="E118" s="2220"/>
      <c r="F118" s="2399" t="str">
        <f>INDEX(PT_DIFFERENTIATION_VTAR,MATCH(A118,PT_DIFFERENTIATION_VTAR_ID,0))</f>
        <v>Тариф на питьевую воду (питьевое водоснабжение)</v>
      </c>
      <c r="G118" s="2443" t="str">
        <f>INDEX(PT_DIFFERENTIATION_NTAR,MATCH(B118,PT_DIFFERENTIATION_NTAR_ID,0))</f>
        <v/>
      </c>
      <c r="H118" s="1878"/>
      <c r="I118" s="1755"/>
      <c r="J118" s="1789"/>
      <c r="K118" s="1794"/>
      <c r="L118" s="1878" t="s">
        <v>459</v>
      </c>
      <c r="M118" s="357"/>
      <c r="N118" s="350"/>
      <c r="O118" s="1640"/>
      <c r="P118" s="1640"/>
      <c r="AH118" s="1647">
        <v>0</v>
      </c>
    </row>
    <row s="1651" customFormat="1" customHeight="1" ht="18.75" hidden="1">
      <c r="A119" s="1796"/>
      <c r="B119" s="1796"/>
      <c r="C119" s="385" t="s">
        <v>1305</v>
      </c>
      <c r="D119" s="2478"/>
      <c r="E119" s="2220"/>
      <c r="F119" s="2399"/>
      <c r="G119" s="2443"/>
      <c r="H119" s="1516"/>
      <c r="I119" s="667" t="s">
        <v>1304</v>
      </c>
      <c r="J119" s="587"/>
      <c r="K119" s="1516"/>
      <c r="L119" s="230"/>
      <c r="M119" s="357"/>
      <c r="N119" s="350"/>
      <c r="O119" s="1640"/>
      <c r="P119" s="1640"/>
      <c r="AH119" s="1647">
        <v>0</v>
      </c>
    </row>
    <row s="1651" customFormat="1" customHeight="1" ht="0.75" hidden="1">
      <c r="A120" s="1796"/>
      <c r="B120" s="1796"/>
      <c r="C120" s="385" t="s">
        <v>1312</v>
      </c>
      <c r="D120" s="2478"/>
      <c r="E120" s="2220"/>
      <c r="F120" s="2399"/>
      <c r="G120" s="416"/>
      <c r="H120" s="1516"/>
      <c r="I120" s="667"/>
      <c r="J120" s="587"/>
      <c r="K120" s="1516"/>
      <c r="L120" s="230"/>
      <c r="M120" s="357"/>
      <c r="N120" s="350"/>
      <c r="O120" s="1640"/>
      <c r="P120" s="1640"/>
      <c r="AH120" s="1647">
        <v>0</v>
      </c>
    </row>
    <row s="1651" customFormat="1" customHeight="1" ht="18.75" hidden="1">
      <c r="A121" s="1796" t="s">
        <v>383</v>
      </c>
      <c r="B121" s="1796" t="s">
        <v>384</v>
      </c>
      <c r="C121" s="385"/>
      <c r="D121" s="2478"/>
      <c r="E121" s="2220"/>
      <c r="F121" s="2399" t="str">
        <f>INDEX(PT_DIFFERENTIATION_VTAR,MATCH(A121,PT_DIFFERENTIATION_VTAR_ID,0))</f>
        <v>Тариф на техническую воду</v>
      </c>
      <c r="G121" s="2443" t="str">
        <f>INDEX(PT_DIFFERENTIATION_NTAR,MATCH(B121,PT_DIFFERENTIATION_NTAR_ID,0))</f>
        <v/>
      </c>
      <c r="H121" s="1878"/>
      <c r="I121" s="1755"/>
      <c r="J121" s="1789"/>
      <c r="K121" s="1794"/>
      <c r="L121" s="1878" t="s">
        <v>459</v>
      </c>
      <c r="M121" s="357"/>
      <c r="N121" s="350"/>
      <c r="O121" s="1640"/>
      <c r="P121" s="1640"/>
      <c r="AH121" s="1647">
        <v>0</v>
      </c>
    </row>
    <row s="1651" customFormat="1" customHeight="1" ht="18.75" hidden="1">
      <c r="A122" s="1796"/>
      <c r="B122" s="1796"/>
      <c r="C122" s="385" t="s">
        <v>1305</v>
      </c>
      <c r="D122" s="2478"/>
      <c r="E122" s="2220"/>
      <c r="F122" s="2399"/>
      <c r="G122" s="2443"/>
      <c r="H122" s="1516"/>
      <c r="I122" s="667" t="s">
        <v>1304</v>
      </c>
      <c r="J122" s="587"/>
      <c r="K122" s="1516"/>
      <c r="L122" s="230"/>
      <c r="M122" s="357"/>
      <c r="N122" s="350"/>
      <c r="O122" s="1640"/>
      <c r="P122" s="1640"/>
      <c r="AH122" s="1647">
        <v>0</v>
      </c>
    </row>
    <row s="1651" customFormat="1" customHeight="1" ht="0.75" hidden="1">
      <c r="A123" s="1796"/>
      <c r="B123" s="1796"/>
      <c r="C123" s="385" t="s">
        <v>1312</v>
      </c>
      <c r="D123" s="2478"/>
      <c r="E123" s="2220"/>
      <c r="F123" s="2399"/>
      <c r="G123" s="416"/>
      <c r="H123" s="1516"/>
      <c r="I123" s="667"/>
      <c r="J123" s="587"/>
      <c r="K123" s="1516"/>
      <c r="L123" s="230"/>
      <c r="M123" s="357"/>
      <c r="N123" s="350"/>
      <c r="O123" s="1640"/>
      <c r="P123" s="1640"/>
      <c r="AH123" s="1647">
        <v>0</v>
      </c>
    </row>
    <row s="1651" customFormat="1" customHeight="1" ht="18.75" hidden="1">
      <c r="A124" s="1796" t="s">
        <v>388</v>
      </c>
      <c r="B124" s="1796" t="s">
        <v>389</v>
      </c>
      <c r="C124" s="385"/>
      <c r="D124" s="2478"/>
      <c r="E124" s="2220"/>
      <c r="F124" s="2399" t="str">
        <f>INDEX(PT_DIFFERENTIATION_VTAR,MATCH(A124,PT_DIFFERENTIATION_VTAR_ID,0))</f>
        <v>Тариф на транспортировку воды</v>
      </c>
      <c r="G124" s="2443" t="str">
        <f>INDEX(PT_DIFFERENTIATION_NTAR,MATCH(B124,PT_DIFFERENTIATION_NTAR_ID,0))</f>
        <v/>
      </c>
      <c r="H124" s="1878"/>
      <c r="I124" s="1755"/>
      <c r="J124" s="1789"/>
      <c r="K124" s="1794"/>
      <c r="L124" s="1878" t="s">
        <v>459</v>
      </c>
      <c r="M124" s="357"/>
      <c r="N124" s="350"/>
      <c r="O124" s="1640"/>
      <c r="P124" s="1640"/>
      <c r="AH124" s="1647">
        <v>0</v>
      </c>
    </row>
    <row s="1651" customFormat="1" customHeight="1" ht="18.75" hidden="1">
      <c r="A125" s="1796"/>
      <c r="B125" s="1796"/>
      <c r="C125" s="385" t="s">
        <v>1305</v>
      </c>
      <c r="D125" s="2478"/>
      <c r="E125" s="2220"/>
      <c r="F125" s="2399"/>
      <c r="G125" s="2443"/>
      <c r="H125" s="1516"/>
      <c r="I125" s="667" t="s">
        <v>1304</v>
      </c>
      <c r="J125" s="587"/>
      <c r="K125" s="1516"/>
      <c r="L125" s="230"/>
      <c r="M125" s="357"/>
      <c r="N125" s="350"/>
      <c r="O125" s="1640"/>
      <c r="P125" s="1640"/>
      <c r="AH125" s="1647">
        <v>0</v>
      </c>
    </row>
    <row s="1651" customFormat="1" customHeight="1" ht="0.75" hidden="1">
      <c r="A126" s="1796"/>
      <c r="B126" s="1796"/>
      <c r="C126" s="385" t="s">
        <v>1312</v>
      </c>
      <c r="D126" s="2478"/>
      <c r="E126" s="2220"/>
      <c r="F126" s="2399"/>
      <c r="G126" s="416"/>
      <c r="H126" s="1516"/>
      <c r="I126" s="667"/>
      <c r="J126" s="587"/>
      <c r="K126" s="1516"/>
      <c r="L126" s="230"/>
      <c r="M126" s="357"/>
      <c r="N126" s="350"/>
      <c r="O126" s="1640"/>
      <c r="P126" s="1640"/>
      <c r="AH126" s="1647">
        <v>0</v>
      </c>
    </row>
    <row s="1651" customFormat="1" customHeight="1" ht="18.75" hidden="1">
      <c r="A127" s="1796" t="s">
        <v>393</v>
      </c>
      <c r="B127" s="1796" t="s">
        <v>394</v>
      </c>
      <c r="C127" s="385"/>
      <c r="D127" s="2478"/>
      <c r="E127" s="2220"/>
      <c r="F127" s="2399" t="str">
        <f>INDEX(PT_DIFFERENTIATION_VTAR,MATCH(A127,PT_DIFFERENTIATION_VTAR_ID,0))</f>
        <v>Тариф на подвоз воды</v>
      </c>
      <c r="G127" s="2443" t="str">
        <f>INDEX(PT_DIFFERENTIATION_NTAR,MATCH(B127,PT_DIFFERENTIATION_NTAR_ID,0))</f>
        <v/>
      </c>
      <c r="H127" s="1878"/>
      <c r="I127" s="1755"/>
      <c r="J127" s="1789"/>
      <c r="K127" s="1794"/>
      <c r="L127" s="1878" t="s">
        <v>459</v>
      </c>
      <c r="M127" s="357"/>
      <c r="N127" s="350"/>
      <c r="O127" s="1640"/>
      <c r="P127" s="1640"/>
      <c r="AH127" s="1647">
        <v>0</v>
      </c>
    </row>
    <row s="1651" customFormat="1" customHeight="1" ht="18.75" hidden="1">
      <c r="A128" s="1796"/>
      <c r="B128" s="1796"/>
      <c r="C128" s="385" t="s">
        <v>1305</v>
      </c>
      <c r="D128" s="2478"/>
      <c r="E128" s="2220"/>
      <c r="F128" s="2399"/>
      <c r="G128" s="2443"/>
      <c r="H128" s="1516"/>
      <c r="I128" s="667" t="s">
        <v>1304</v>
      </c>
      <c r="J128" s="587"/>
      <c r="K128" s="1516"/>
      <c r="L128" s="230"/>
      <c r="M128" s="357"/>
      <c r="N128" s="350"/>
      <c r="O128" s="1640"/>
      <c r="P128" s="1640"/>
      <c r="AH128" s="1647">
        <v>0</v>
      </c>
    </row>
    <row s="1651" customFormat="1" customHeight="1" ht="0.75" hidden="1">
      <c r="A129" s="1796"/>
      <c r="B129" s="1796"/>
      <c r="C129" s="385" t="s">
        <v>1312</v>
      </c>
      <c r="D129" s="2478"/>
      <c r="E129" s="2220"/>
      <c r="F129" s="2399"/>
      <c r="G129" s="416"/>
      <c r="H129" s="1516"/>
      <c r="I129" s="667"/>
      <c r="J129" s="587"/>
      <c r="K129" s="1516"/>
      <c r="L129" s="230"/>
      <c r="M129" s="357"/>
      <c r="N129" s="350"/>
      <c r="O129" s="1640"/>
      <c r="P129" s="1640"/>
      <c r="AH129" s="1647">
        <v>0</v>
      </c>
    </row>
    <row s="1651" customFormat="1" customHeight="1" ht="18.75" hidden="1">
      <c r="A130" s="1796" t="s">
        <v>398</v>
      </c>
      <c r="B130" s="1796" t="s">
        <v>399</v>
      </c>
      <c r="C130" s="385"/>
      <c r="D130" s="2478"/>
      <c r="E130" s="2220"/>
      <c r="F130" s="239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43" t="str">
        <f>INDEX(PT_DIFFERENTIATION_NTAR,MATCH(B130,PT_DIFFERENTIATION_NTAR_ID,0))</f>
        <v/>
      </c>
      <c r="H130" s="1878"/>
      <c r="I130" s="1755"/>
      <c r="J130" s="1789"/>
      <c r="K130" s="1794"/>
      <c r="L130" s="1878" t="s">
        <v>459</v>
      </c>
      <c r="M130" s="357"/>
      <c r="N130" s="350"/>
      <c r="O130" s="1640"/>
      <c r="P130" s="1640"/>
      <c r="AH130" s="1647">
        <v>0</v>
      </c>
    </row>
    <row s="1651" customFormat="1" customHeight="1" ht="18.75" hidden="1">
      <c r="A131" s="1796"/>
      <c r="B131" s="1796"/>
      <c r="C131" s="385" t="s">
        <v>1305</v>
      </c>
      <c r="D131" s="2478"/>
      <c r="E131" s="2220"/>
      <c r="F131" s="2399"/>
      <c r="G131" s="2443"/>
      <c r="H131" s="1516"/>
      <c r="I131" s="667" t="s">
        <v>1304</v>
      </c>
      <c r="J131" s="587"/>
      <c r="K131" s="1516"/>
      <c r="L131" s="230"/>
      <c r="M131" s="357"/>
      <c r="N131" s="350"/>
      <c r="O131" s="1640"/>
      <c r="P131" s="1640"/>
      <c r="AH131" s="1647">
        <v>0</v>
      </c>
    </row>
    <row s="1651" customFormat="1" customHeight="1" ht="0.75" hidden="1">
      <c r="A132" s="1796"/>
      <c r="B132" s="1796"/>
      <c r="C132" s="385" t="s">
        <v>1312</v>
      </c>
      <c r="D132" s="2478"/>
      <c r="E132" s="2220"/>
      <c r="F132" s="2399"/>
      <c r="G132" s="416"/>
      <c r="H132" s="1516"/>
      <c r="I132" s="667"/>
      <c r="J132" s="587"/>
      <c r="K132" s="1516"/>
      <c r="L132" s="230"/>
      <c r="M132" s="357"/>
      <c r="N132" s="350"/>
      <c r="O132" s="1640"/>
      <c r="P132" s="1640"/>
      <c r="AH132" s="1647">
        <v>0</v>
      </c>
    </row>
    <row s="1651" customFormat="1" customHeight="1" ht="18.75" hidden="1">
      <c r="A133" s="1796" t="s">
        <v>403</v>
      </c>
      <c r="B133" s="1796" t="s">
        <v>404</v>
      </c>
      <c r="C133" s="385"/>
      <c r="D133" s="2478"/>
      <c r="E133" s="2220"/>
      <c r="F133" s="2399" t="str">
        <f>INDEX(PT_DIFFERENTIATION_VTAR,MATCH(A133,PT_DIFFERENTIATION_VTAR_ID,0))</f>
        <v>Тариф на горячую воду (горячее водоснабжение)</v>
      </c>
      <c r="G133" s="2443" t="str">
        <f>INDEX(PT_DIFFERENTIATION_NTAR,MATCH(B133,PT_DIFFERENTIATION_NTAR_ID,0))</f>
        <v/>
      </c>
      <c r="H133" s="1878"/>
      <c r="I133" s="1755"/>
      <c r="J133" s="1789"/>
      <c r="K133" s="1794"/>
      <c r="L133" s="1878" t="s">
        <v>459</v>
      </c>
      <c r="M133" s="357"/>
      <c r="N133" s="350"/>
      <c r="O133" s="1640"/>
      <c r="P133" s="1640"/>
      <c r="AH133" s="1647">
        <v>0</v>
      </c>
    </row>
    <row s="1651" customFormat="1" customHeight="1" ht="18.75" hidden="1">
      <c r="A134" s="1796"/>
      <c r="B134" s="1796"/>
      <c r="C134" s="385" t="s">
        <v>1305</v>
      </c>
      <c r="D134" s="2478"/>
      <c r="E134" s="2220"/>
      <c r="F134" s="2399"/>
      <c r="G134" s="2443"/>
      <c r="H134" s="1516"/>
      <c r="I134" s="667" t="s">
        <v>1304</v>
      </c>
      <c r="J134" s="587"/>
      <c r="K134" s="1516"/>
      <c r="L134" s="230"/>
      <c r="M134" s="357"/>
      <c r="N134" s="350"/>
      <c r="O134" s="1640"/>
      <c r="P134" s="1640"/>
      <c r="AH134" s="1647">
        <v>0</v>
      </c>
    </row>
    <row s="1651" customFormat="1" customHeight="1" ht="0.75" hidden="1">
      <c r="A135" s="1796"/>
      <c r="B135" s="1796"/>
      <c r="C135" s="385" t="s">
        <v>1312</v>
      </c>
      <c r="D135" s="2478"/>
      <c r="E135" s="2220"/>
      <c r="F135" s="2399"/>
      <c r="G135" s="416"/>
      <c r="H135" s="1516"/>
      <c r="I135" s="667"/>
      <c r="J135" s="587"/>
      <c r="K135" s="1516"/>
      <c r="L135" s="230"/>
      <c r="M135" s="357"/>
      <c r="N135" s="350"/>
      <c r="O135" s="1640"/>
      <c r="P135" s="1640"/>
      <c r="AH135" s="1647">
        <v>0</v>
      </c>
    </row>
    <row s="1651" customFormat="1" customHeight="1" ht="18.75" hidden="1">
      <c r="A136" s="1796" t="s">
        <v>408</v>
      </c>
      <c r="B136" s="1796" t="s">
        <v>409</v>
      </c>
      <c r="C136" s="385"/>
      <c r="D136" s="2478"/>
      <c r="E136" s="2220"/>
      <c r="F136" s="2399" t="str">
        <f>INDEX(PT_DIFFERENTIATION_VTAR,MATCH(A136,PT_DIFFERENTIATION_VTAR_ID,0))</f>
        <v>Тариф на транспортировку горячей воды</v>
      </c>
      <c r="G136" s="2443" t="str">
        <f>INDEX(PT_DIFFERENTIATION_NTAR,MATCH(B136,PT_DIFFERENTIATION_NTAR_ID,0))</f>
        <v/>
      </c>
      <c r="H136" s="1878"/>
      <c r="I136" s="1755"/>
      <c r="J136" s="1789"/>
      <c r="K136" s="1794"/>
      <c r="L136" s="1878" t="s">
        <v>459</v>
      </c>
      <c r="M136" s="357"/>
      <c r="N136" s="350"/>
      <c r="O136" s="1640"/>
      <c r="P136" s="1640"/>
      <c r="AH136" s="1647">
        <v>0</v>
      </c>
    </row>
    <row s="1651" customFormat="1" customHeight="1" ht="18.75" hidden="1">
      <c r="A137" s="1796"/>
      <c r="B137" s="1796"/>
      <c r="C137" s="385" t="s">
        <v>1305</v>
      </c>
      <c r="D137" s="2478"/>
      <c r="E137" s="2220"/>
      <c r="F137" s="2399"/>
      <c r="G137" s="2443"/>
      <c r="H137" s="1516"/>
      <c r="I137" s="667" t="s">
        <v>1304</v>
      </c>
      <c r="J137" s="587"/>
      <c r="K137" s="1516"/>
      <c r="L137" s="230"/>
      <c r="M137" s="357"/>
      <c r="N137" s="350"/>
      <c r="O137" s="1640"/>
      <c r="P137" s="1640"/>
      <c r="AH137" s="1647">
        <v>0</v>
      </c>
    </row>
    <row s="1651" customFormat="1" customHeight="1" ht="0.75" hidden="1">
      <c r="A138" s="1796"/>
      <c r="B138" s="1796"/>
      <c r="C138" s="385" t="s">
        <v>1312</v>
      </c>
      <c r="D138" s="2478"/>
      <c r="E138" s="2220"/>
      <c r="F138" s="2399"/>
      <c r="G138" s="416"/>
      <c r="H138" s="1516"/>
      <c r="I138" s="667"/>
      <c r="J138" s="587"/>
      <c r="K138" s="1516"/>
      <c r="L138" s="230"/>
      <c r="M138" s="357"/>
      <c r="N138" s="350"/>
      <c r="O138" s="1640"/>
      <c r="P138" s="1640"/>
      <c r="AH138" s="1647">
        <v>0</v>
      </c>
    </row>
    <row s="1651" customFormat="1" customHeight="1" ht="18.75" hidden="1">
      <c r="A139" s="1796" t="s">
        <v>413</v>
      </c>
      <c r="B139" s="1796" t="s">
        <v>414</v>
      </c>
      <c r="C139" s="385"/>
      <c r="D139" s="2478"/>
      <c r="E139" s="2220"/>
      <c r="F139" s="239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43" t="str">
        <f>INDEX(PT_DIFFERENTIATION_NTAR,MATCH(B139,PT_DIFFERENTIATION_NTAR_ID,0))</f>
        <v/>
      </c>
      <c r="H139" s="1878"/>
      <c r="I139" s="1755"/>
      <c r="J139" s="1789"/>
      <c r="K139" s="1794"/>
      <c r="L139" s="1878" t="s">
        <v>459</v>
      </c>
      <c r="M139" s="357"/>
      <c r="N139" s="350"/>
      <c r="O139" s="1640"/>
      <c r="P139" s="1640"/>
      <c r="AH139" s="1647">
        <v>0</v>
      </c>
    </row>
    <row s="1651" customFormat="1" customHeight="1" ht="18.75" hidden="1">
      <c r="A140" s="1796"/>
      <c r="B140" s="1796"/>
      <c r="C140" s="385" t="s">
        <v>1305</v>
      </c>
      <c r="D140" s="2478"/>
      <c r="E140" s="2220"/>
      <c r="F140" s="2399"/>
      <c r="G140" s="2443"/>
      <c r="H140" s="1516"/>
      <c r="I140" s="667" t="s">
        <v>1304</v>
      </c>
      <c r="J140" s="587"/>
      <c r="K140" s="1516"/>
      <c r="L140" s="230"/>
      <c r="M140" s="357"/>
      <c r="N140" s="350"/>
      <c r="O140" s="1640"/>
      <c r="P140" s="1640"/>
      <c r="AH140" s="1647">
        <v>0</v>
      </c>
    </row>
    <row s="1651" customFormat="1" customHeight="1" ht="0.75" hidden="1">
      <c r="A141" s="1796"/>
      <c r="B141" s="1796"/>
      <c r="C141" s="385" t="s">
        <v>1312</v>
      </c>
      <c r="D141" s="2478"/>
      <c r="E141" s="2220"/>
      <c r="F141" s="2399"/>
      <c r="G141" s="416"/>
      <c r="H141" s="1516"/>
      <c r="I141" s="667"/>
      <c r="J141" s="587"/>
      <c r="K141" s="1516"/>
      <c r="L141" s="230"/>
      <c r="M141" s="357"/>
      <c r="N141" s="350"/>
      <c r="O141" s="1640"/>
      <c r="P141" s="1640"/>
      <c r="AH141" s="1647">
        <v>0</v>
      </c>
    </row>
    <row s="1651" customFormat="1" customHeight="1" ht="18.75" hidden="1">
      <c r="A142" s="1796" t="s">
        <v>418</v>
      </c>
      <c r="B142" s="1796" t="s">
        <v>419</v>
      </c>
      <c r="C142" s="385"/>
      <c r="D142" s="2478"/>
      <c r="E142" s="2220"/>
      <c r="F142" s="2399" t="str">
        <f>INDEX(PT_DIFFERENTIATION_VTAR,MATCH(A142,PT_DIFFERENTIATION_VTAR_ID,0))</f>
        <v>Тариф на водоотведение</v>
      </c>
      <c r="G142" s="2443" t="str">
        <f>INDEX(PT_DIFFERENTIATION_NTAR,MATCH(B142,PT_DIFFERENTIATION_NTAR_ID,0))</f>
        <v/>
      </c>
      <c r="H142" s="1878"/>
      <c r="I142" s="1755"/>
      <c r="J142" s="1789"/>
      <c r="K142" s="1794"/>
      <c r="L142" s="1878" t="s">
        <v>459</v>
      </c>
      <c r="M142" s="357"/>
      <c r="N142" s="350"/>
      <c r="O142" s="1640"/>
      <c r="P142" s="1640"/>
      <c r="AH142" s="1647">
        <v>0</v>
      </c>
    </row>
    <row s="1651" customFormat="1" customHeight="1" ht="18.75" hidden="1">
      <c r="A143" s="1796"/>
      <c r="B143" s="1796"/>
      <c r="C143" s="385" t="s">
        <v>1305</v>
      </c>
      <c r="D143" s="2478"/>
      <c r="E143" s="2220"/>
      <c r="F143" s="2399"/>
      <c r="G143" s="2443"/>
      <c r="H143" s="1516"/>
      <c r="I143" s="667" t="s">
        <v>1304</v>
      </c>
      <c r="J143" s="587"/>
      <c r="K143" s="1516"/>
      <c r="L143" s="230"/>
      <c r="M143" s="357"/>
      <c r="N143" s="350"/>
      <c r="O143" s="1640"/>
      <c r="P143" s="1640"/>
      <c r="AH143" s="1647">
        <v>0</v>
      </c>
    </row>
    <row s="1651" customFormat="1" customHeight="1" ht="0.75" hidden="1">
      <c r="A144" s="1796"/>
      <c r="B144" s="1796"/>
      <c r="C144" s="385" t="s">
        <v>1312</v>
      </c>
      <c r="D144" s="2478"/>
      <c r="E144" s="2220"/>
      <c r="F144" s="2399"/>
      <c r="G144" s="416"/>
      <c r="H144" s="1516"/>
      <c r="I144" s="667"/>
      <c r="J144" s="587"/>
      <c r="K144" s="1516"/>
      <c r="L144" s="230"/>
      <c r="M144" s="357"/>
      <c r="N144" s="350"/>
      <c r="O144" s="1640"/>
      <c r="P144" s="1640"/>
      <c r="AH144" s="1647">
        <v>0</v>
      </c>
    </row>
    <row s="1651" customFormat="1" customHeight="1" ht="18.75" hidden="1">
      <c r="A145" s="1796" t="s">
        <v>423</v>
      </c>
      <c r="B145" s="1796" t="s">
        <v>424</v>
      </c>
      <c r="C145" s="385"/>
      <c r="D145" s="2478"/>
      <c r="E145" s="2220"/>
      <c r="F145" s="2399" t="str">
        <f>INDEX(PT_DIFFERENTIATION_VTAR,MATCH(A145,PT_DIFFERENTIATION_VTAR_ID,0))</f>
        <v>Тариф на транспортировку сточных вод</v>
      </c>
      <c r="G145" s="2443" t="str">
        <f>INDEX(PT_DIFFERENTIATION_NTAR,MATCH(B145,PT_DIFFERENTIATION_NTAR_ID,0))</f>
        <v/>
      </c>
      <c r="H145" s="1878"/>
      <c r="I145" s="1755"/>
      <c r="J145" s="1789"/>
      <c r="K145" s="1794"/>
      <c r="L145" s="1878" t="s">
        <v>459</v>
      </c>
      <c r="M145" s="357"/>
      <c r="N145" s="350"/>
      <c r="O145" s="1640"/>
      <c r="P145" s="1640"/>
      <c r="AH145" s="1647">
        <v>0</v>
      </c>
    </row>
    <row s="1651" customFormat="1" customHeight="1" ht="18.75" hidden="1">
      <c r="A146" s="1796"/>
      <c r="B146" s="1796"/>
      <c r="C146" s="385" t="s">
        <v>1305</v>
      </c>
      <c r="D146" s="2478"/>
      <c r="E146" s="2220"/>
      <c r="F146" s="2399"/>
      <c r="G146" s="2443"/>
      <c r="H146" s="1516"/>
      <c r="I146" s="667" t="s">
        <v>1304</v>
      </c>
      <c r="J146" s="587"/>
      <c r="K146" s="1516"/>
      <c r="L146" s="230"/>
      <c r="M146" s="357"/>
      <c r="N146" s="350"/>
      <c r="O146" s="1640"/>
      <c r="P146" s="1640"/>
      <c r="AH146" s="1647">
        <v>0</v>
      </c>
    </row>
    <row s="1651" customFormat="1" customHeight="1" ht="0.75" hidden="1">
      <c r="A147" s="1796"/>
      <c r="B147" s="1796"/>
      <c r="C147" s="385" t="s">
        <v>1312</v>
      </c>
      <c r="D147" s="2478"/>
      <c r="E147" s="2220"/>
      <c r="F147" s="2399"/>
      <c r="G147" s="416"/>
      <c r="H147" s="1516"/>
      <c r="I147" s="667"/>
      <c r="J147" s="587"/>
      <c r="K147" s="1516"/>
      <c r="L147" s="230"/>
      <c r="M147" s="357"/>
      <c r="N147" s="350"/>
      <c r="O147" s="1640"/>
      <c r="P147" s="1640"/>
      <c r="AH147" s="1647">
        <v>0</v>
      </c>
    </row>
    <row s="1651" customFormat="1" customHeight="1" ht="18.75" hidden="1">
      <c r="A148" s="1796" t="s">
        <v>428</v>
      </c>
      <c r="B148" s="1796" t="s">
        <v>429</v>
      </c>
      <c r="C148" s="385"/>
      <c r="D148" s="2478"/>
      <c r="E148" s="2220"/>
      <c r="F148" s="2399" t="str">
        <f>INDEX(PT_DIFFERENTIATION_VTAR,MATCH(A148,PT_DIFFERENTIATION_VTAR_ID,0))</f>
        <v>Тариф на подключение (технологическое присоединение) к централизованной системе водоотведения</v>
      </c>
      <c r="G148" s="2443" t="str">
        <f>INDEX(PT_DIFFERENTIATION_NTAR,MATCH(B148,PT_DIFFERENTIATION_NTAR_ID,0))</f>
        <v/>
      </c>
      <c r="H148" s="1878"/>
      <c r="I148" s="1755"/>
      <c r="J148" s="1789"/>
      <c r="K148" s="1794"/>
      <c r="L148" s="1878" t="s">
        <v>459</v>
      </c>
      <c r="M148" s="357"/>
      <c r="N148" s="350"/>
      <c r="O148" s="1640"/>
      <c r="P148" s="1640"/>
      <c r="AH148" s="1647">
        <v>0</v>
      </c>
    </row>
    <row s="1651" customFormat="1" customHeight="1" ht="18.75" hidden="1">
      <c r="A149" s="1796"/>
      <c r="B149" s="1796"/>
      <c r="C149" s="385" t="s">
        <v>1305</v>
      </c>
      <c r="D149" s="2478"/>
      <c r="E149" s="2220"/>
      <c r="F149" s="2399"/>
      <c r="G149" s="2443"/>
      <c r="H149" s="1516"/>
      <c r="I149" s="667" t="s">
        <v>1304</v>
      </c>
      <c r="J149" s="587"/>
      <c r="K149" s="1516"/>
      <c r="L149" s="230"/>
      <c r="M149" s="357"/>
      <c r="N149" s="350"/>
      <c r="O149" s="1640"/>
      <c r="P149" s="1640"/>
      <c r="AH149" s="1647">
        <v>0</v>
      </c>
    </row>
    <row s="1651" customFormat="1" customHeight="1" ht="1.05">
      <c r="A150" s="1796"/>
      <c r="B150" s="1796"/>
      <c r="C150" s="385" t="s">
        <v>1312</v>
      </c>
      <c r="D150" s="2478"/>
      <c r="E150" s="2220"/>
      <c r="F150" s="2399"/>
      <c r="G150" s="416"/>
      <c r="H150" s="1516"/>
      <c r="I150" s="667"/>
      <c r="J150" s="587"/>
      <c r="K150" s="1516"/>
      <c r="L150" s="230"/>
      <c r="M150" s="357"/>
      <c r="N150" s="350"/>
      <c r="O150" s="1640"/>
      <c r="P150" s="1640"/>
      <c r="AH150" s="1647">
        <v>1</v>
      </c>
    </row>
    <row customHeight="1" ht="19.95">
      <c r="A151" s="1796"/>
      <c r="B151" s="1796"/>
      <c r="D151" s="392"/>
      <c r="E151" s="163" t="s">
        <v>94</v>
      </c>
      <c r="F151" s="2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76"/>
      <c r="H151" s="2476"/>
      <c r="I151" s="2476"/>
      <c r="J151" s="2476"/>
      <c r="K151" s="2476"/>
      <c r="L151" s="2476"/>
      <c r="M151" s="313"/>
      <c r="N151" s="350"/>
      <c r="AH151" s="390">
        <v>19</v>
      </c>
    </row>
    <row s="1651" customFormat="1" customHeight="1" ht="60.75" hidden="1">
      <c r="A152" s="1796" t="s">
        <v>218</v>
      </c>
      <c r="B152" s="1796" t="s">
        <v>219</v>
      </c>
      <c r="C152" s="385"/>
      <c r="D152" s="2478"/>
      <c r="E152" s="2220"/>
      <c r="F152" s="239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43" t="str">
        <f>INDEX(PT_DIFFERENTIATION_NTAR,MATCH(B152,PT_DIFFERENTIATION_NTAR_ID,0))</f>
        <v/>
      </c>
      <c r="H152" s="1878"/>
      <c r="I152" s="1755"/>
      <c r="J152" s="1789"/>
      <c r="K152" s="1794"/>
      <c r="L152" s="1878" t="s">
        <v>459</v>
      </c>
      <c r="M152"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50"/>
      <c r="O152" s="1640"/>
      <c r="P152" s="1640"/>
      <c r="AH152" s="1647">
        <v>0</v>
      </c>
    </row>
    <row s="1651" customFormat="1" customHeight="1" ht="18.75" hidden="1">
      <c r="A153" s="1796"/>
      <c r="B153" s="1796"/>
      <c r="C153" s="385" t="s">
        <v>1305</v>
      </c>
      <c r="D153" s="2478"/>
      <c r="E153" s="2220"/>
      <c r="F153" s="2399"/>
      <c r="G153" s="2443"/>
      <c r="H153" s="1516"/>
      <c r="I153" s="667" t="s">
        <v>1304</v>
      </c>
      <c r="J153" s="587"/>
      <c r="K153" s="1516"/>
      <c r="L153" s="230"/>
      <c r="M153" s="2186"/>
      <c r="N153" s="350"/>
      <c r="O153" s="1640"/>
      <c r="P153" s="1640"/>
      <c r="AH153" s="1647">
        <v>0</v>
      </c>
    </row>
    <row s="1651" customFormat="1" customHeight="1" ht="0.75" hidden="1">
      <c r="A154" s="1796"/>
      <c r="B154" s="1796"/>
      <c r="C154" s="385" t="s">
        <v>1312</v>
      </c>
      <c r="D154" s="2478"/>
      <c r="E154" s="2220"/>
      <c r="F154" s="2399"/>
      <c r="G154" s="416"/>
      <c r="H154" s="1516"/>
      <c r="I154" s="667"/>
      <c r="J154" s="587"/>
      <c r="K154" s="1516"/>
      <c r="L154" s="230"/>
      <c r="M154" s="2186"/>
      <c r="N154" s="350"/>
      <c r="O154" s="1640"/>
      <c r="P154" s="1640"/>
      <c r="AH154" s="1647">
        <v>0</v>
      </c>
    </row>
    <row s="1651" customFormat="1" customHeight="1" ht="45" hidden="1">
      <c r="A155" s="1796" t="s">
        <v>224</v>
      </c>
      <c r="B155" s="1796" t="s">
        <v>225</v>
      </c>
      <c r="C155" s="385"/>
      <c r="D155" s="2478"/>
      <c r="E155" s="2220"/>
      <c r="F155" s="2399"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43" t="str">
        <f>INDEX(PT_DIFFERENTIATION_NTAR,MATCH(B155,PT_DIFFERENTIATION_NTAR_ID,0))</f>
        <v/>
      </c>
      <c r="H155" s="1878"/>
      <c r="I155" s="1755"/>
      <c r="J155" s="1789"/>
      <c r="K155" s="1794"/>
      <c r="L155" s="1878" t="s">
        <v>459</v>
      </c>
      <c r="M155" s="2187"/>
      <c r="N155" s="350"/>
      <c r="O155" s="1640"/>
      <c r="P155" s="1640"/>
      <c r="AH155" s="1647">
        <v>0</v>
      </c>
    </row>
    <row s="1651" customFormat="1" customHeight="1" ht="18.75" hidden="1">
      <c r="A156" s="1796"/>
      <c r="B156" s="1796"/>
      <c r="C156" s="385" t="s">
        <v>1305</v>
      </c>
      <c r="D156" s="2478"/>
      <c r="E156" s="2220"/>
      <c r="F156" s="2399"/>
      <c r="G156" s="2443"/>
      <c r="H156" s="1516"/>
      <c r="I156" s="667" t="s">
        <v>1304</v>
      </c>
      <c r="J156" s="587"/>
      <c r="K156" s="1516"/>
      <c r="L156" s="230"/>
      <c r="M156" s="1877"/>
      <c r="N156" s="350"/>
      <c r="O156" s="1640"/>
      <c r="P156" s="1640"/>
      <c r="AH156" s="1647">
        <v>0</v>
      </c>
    </row>
    <row s="1651" customFormat="1" customHeight="1" ht="0.75" hidden="1">
      <c r="A157" s="1796"/>
      <c r="B157" s="1796"/>
      <c r="C157" s="385" t="s">
        <v>1312</v>
      </c>
      <c r="D157" s="2478"/>
      <c r="E157" s="2220"/>
      <c r="F157" s="2399"/>
      <c r="G157" s="416"/>
      <c r="H157" s="1516"/>
      <c r="I157" s="667"/>
      <c r="J157" s="587"/>
      <c r="K157" s="1516"/>
      <c r="L157" s="230"/>
      <c r="M157" s="357"/>
      <c r="N157" s="350"/>
      <c r="O157" s="1640"/>
      <c r="P157" s="1640"/>
      <c r="AH157" s="1647">
        <v>0</v>
      </c>
    </row>
    <row s="1651" customFormat="1" customHeight="1" ht="45" hidden="1">
      <c r="A158" s="1796" t="s">
        <v>230</v>
      </c>
      <c r="B158" s="1796" t="s">
        <v>231</v>
      </c>
      <c r="C158" s="385"/>
      <c r="D158" s="2478"/>
      <c r="E158" s="2220"/>
      <c r="F158" s="239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43" t="str">
        <f>INDEX(PT_DIFFERENTIATION_NTAR,MATCH(B158,PT_DIFFERENTIATION_NTAR_ID,0))</f>
        <v/>
      </c>
      <c r="H158" s="1878"/>
      <c r="I158" s="1755"/>
      <c r="J158" s="1789"/>
      <c r="K158" s="1794"/>
      <c r="L158" s="1878" t="s">
        <v>459</v>
      </c>
      <c r="M158" s="357"/>
      <c r="N158" s="350"/>
      <c r="O158" s="1640"/>
      <c r="P158" s="1640"/>
      <c r="AH158" s="1647">
        <v>0</v>
      </c>
    </row>
    <row s="1651" customFormat="1" customHeight="1" ht="18.75" hidden="1">
      <c r="A159" s="1796"/>
      <c r="B159" s="1796"/>
      <c r="C159" s="385" t="s">
        <v>1305</v>
      </c>
      <c r="D159" s="2478"/>
      <c r="E159" s="2220"/>
      <c r="F159" s="2399"/>
      <c r="G159" s="2443"/>
      <c r="H159" s="1516"/>
      <c r="I159" s="667" t="s">
        <v>1304</v>
      </c>
      <c r="J159" s="587"/>
      <c r="K159" s="1516"/>
      <c r="L159" s="230"/>
      <c r="M159" s="357"/>
      <c r="N159" s="350"/>
      <c r="O159" s="1640"/>
      <c r="P159" s="1640"/>
      <c r="AH159" s="1647">
        <v>0</v>
      </c>
    </row>
    <row s="1651" customFormat="1" customHeight="1" ht="0.75" hidden="1">
      <c r="A160" s="1796"/>
      <c r="B160" s="1796"/>
      <c r="C160" s="385" t="s">
        <v>1312</v>
      </c>
      <c r="D160" s="2478"/>
      <c r="E160" s="2220"/>
      <c r="F160" s="2399"/>
      <c r="G160" s="416"/>
      <c r="H160" s="1516"/>
      <c r="I160" s="667"/>
      <c r="J160" s="587"/>
      <c r="K160" s="1516"/>
      <c r="L160" s="230"/>
      <c r="M160" s="357"/>
      <c r="N160" s="350"/>
      <c r="O160" s="1640"/>
      <c r="P160" s="1640"/>
      <c r="AH160" s="1647">
        <v>0</v>
      </c>
    </row>
    <row s="1651" customFormat="1" customHeight="1" ht="45" hidden="1">
      <c r="A161" s="1796" t="s">
        <v>236</v>
      </c>
      <c r="B161" s="1796" t="s">
        <v>237</v>
      </c>
      <c r="C161" s="385"/>
      <c r="D161" s="2478"/>
      <c r="E161" s="2220"/>
      <c r="F161" s="239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43" t="str">
        <f>INDEX(PT_DIFFERENTIATION_NTAR,MATCH(B161,PT_DIFFERENTIATION_NTAR_ID,0))</f>
        <v/>
      </c>
      <c r="H161" s="1878"/>
      <c r="I161" s="1755"/>
      <c r="J161" s="1789"/>
      <c r="K161" s="1794"/>
      <c r="L161" s="1878" t="s">
        <v>459</v>
      </c>
      <c r="M161" s="357"/>
      <c r="N161" s="350"/>
      <c r="O161" s="1640"/>
      <c r="P161" s="1640"/>
      <c r="AH161" s="1647">
        <v>0</v>
      </c>
    </row>
    <row s="1651" customFormat="1" customHeight="1" ht="18.75" hidden="1">
      <c r="A162" s="1796"/>
      <c r="B162" s="1796"/>
      <c r="C162" s="385" t="s">
        <v>1305</v>
      </c>
      <c r="D162" s="2478"/>
      <c r="E162" s="2220"/>
      <c r="F162" s="2399"/>
      <c r="G162" s="2443"/>
      <c r="H162" s="1516"/>
      <c r="I162" s="667" t="s">
        <v>1304</v>
      </c>
      <c r="J162" s="587"/>
      <c r="K162" s="1516"/>
      <c r="L162" s="230"/>
      <c r="M162" s="357"/>
      <c r="N162" s="350"/>
      <c r="O162" s="1640"/>
      <c r="P162" s="1640"/>
      <c r="AH162" s="1647">
        <v>0</v>
      </c>
    </row>
    <row s="1651" customFormat="1" customHeight="1" ht="0.75" hidden="1">
      <c r="A163" s="1796"/>
      <c r="B163" s="1796"/>
      <c r="C163" s="385" t="s">
        <v>1312</v>
      </c>
      <c r="D163" s="2478"/>
      <c r="E163" s="2220"/>
      <c r="F163" s="2399"/>
      <c r="G163" s="416"/>
      <c r="H163" s="1516"/>
      <c r="I163" s="667"/>
      <c r="J163" s="587"/>
      <c r="K163" s="1516"/>
      <c r="L163" s="230"/>
      <c r="M163" s="357"/>
      <c r="N163" s="350"/>
      <c r="O163" s="1640"/>
      <c r="P163" s="1640"/>
      <c r="AH163" s="1647">
        <v>0</v>
      </c>
    </row>
    <row s="1651" customFormat="1" customHeight="1" ht="18.75" hidden="1">
      <c r="A164" s="1796" t="s">
        <v>242</v>
      </c>
      <c r="B164" s="1796" t="s">
        <v>243</v>
      </c>
      <c r="C164" s="385"/>
      <c r="D164" s="2478"/>
      <c r="E164" s="2220"/>
      <c r="F164" s="2399" t="str">
        <f>INDEX(PT_DIFFERENTIATION_VTAR,MATCH(A164,PT_DIFFERENTIATION_VTAR_ID,0))</f>
        <v>Тарифы на услуги по передаче тепловой энергии</v>
      </c>
      <c r="G164" s="2443" t="str">
        <f>INDEX(PT_DIFFERENTIATION_NTAR,MATCH(B164,PT_DIFFERENTIATION_NTAR_ID,0))</f>
        <v/>
      </c>
      <c r="H164" s="1878"/>
      <c r="I164" s="1755"/>
      <c r="J164" s="1789"/>
      <c r="K164" s="1794"/>
      <c r="L164" s="1878" t="s">
        <v>459</v>
      </c>
      <c r="M164" s="357"/>
      <c r="N164" s="350"/>
      <c r="O164" s="1640"/>
      <c r="P164" s="1640"/>
      <c r="AH164" s="1647">
        <v>0</v>
      </c>
    </row>
    <row s="1651" customFormat="1" customHeight="1" ht="18.75" hidden="1">
      <c r="A165" s="1796"/>
      <c r="B165" s="1796"/>
      <c r="C165" s="385" t="s">
        <v>1305</v>
      </c>
      <c r="D165" s="2478"/>
      <c r="E165" s="2220"/>
      <c r="F165" s="2399"/>
      <c r="G165" s="2443"/>
      <c r="H165" s="1516"/>
      <c r="I165" s="667" t="s">
        <v>1304</v>
      </c>
      <c r="J165" s="587"/>
      <c r="K165" s="1516"/>
      <c r="L165" s="230"/>
      <c r="M165" s="357"/>
      <c r="N165" s="350"/>
      <c r="O165" s="1640"/>
      <c r="P165" s="1640"/>
      <c r="AH165" s="1647">
        <v>0</v>
      </c>
    </row>
    <row s="1651" customFormat="1" customHeight="1" ht="0.75" hidden="1">
      <c r="A166" s="1796"/>
      <c r="B166" s="1796"/>
      <c r="C166" s="385" t="s">
        <v>1312</v>
      </c>
      <c r="D166" s="2478"/>
      <c r="E166" s="2220"/>
      <c r="F166" s="2399"/>
      <c r="G166" s="416"/>
      <c r="H166" s="1516"/>
      <c r="I166" s="667"/>
      <c r="J166" s="587"/>
      <c r="K166" s="1516"/>
      <c r="L166" s="230"/>
      <c r="M166" s="357"/>
      <c r="N166" s="350"/>
      <c r="O166" s="1640"/>
      <c r="P166" s="1640"/>
      <c r="AH166" s="1647">
        <v>0</v>
      </c>
    </row>
    <row s="1651" customFormat="1" customHeight="1" ht="18.75" hidden="1">
      <c r="A167" s="1796" t="s">
        <v>248</v>
      </c>
      <c r="B167" s="1796" t="s">
        <v>249</v>
      </c>
      <c r="C167" s="385"/>
      <c r="D167" s="2478"/>
      <c r="E167" s="2220"/>
      <c r="F167" s="2399" t="str">
        <f>INDEX(PT_DIFFERENTIATION_VTAR,MATCH(A167,PT_DIFFERENTIATION_VTAR_ID,0))</f>
        <v>Тарифы на услуги по передаче теплоносителя</v>
      </c>
      <c r="G167" s="2443" t="str">
        <f>INDEX(PT_DIFFERENTIATION_NTAR,MATCH(B167,PT_DIFFERENTIATION_NTAR_ID,0))</f>
        <v/>
      </c>
      <c r="H167" s="1878"/>
      <c r="I167" s="1755"/>
      <c r="J167" s="1789"/>
      <c r="K167" s="1794"/>
      <c r="L167" s="1878" t="s">
        <v>459</v>
      </c>
      <c r="M167" s="357"/>
      <c r="N167" s="350"/>
      <c r="O167" s="1640"/>
      <c r="P167" s="1640"/>
      <c r="AH167" s="1647">
        <v>0</v>
      </c>
    </row>
    <row s="1651" customFormat="1" customHeight="1" ht="18.75" hidden="1">
      <c r="A168" s="1796"/>
      <c r="B168" s="1796"/>
      <c r="C168" s="385" t="s">
        <v>1305</v>
      </c>
      <c r="D168" s="2478"/>
      <c r="E168" s="2220"/>
      <c r="F168" s="2399"/>
      <c r="G168" s="2443"/>
      <c r="H168" s="1516"/>
      <c r="I168" s="667" t="s">
        <v>1304</v>
      </c>
      <c r="J168" s="587"/>
      <c r="K168" s="1516"/>
      <c r="L168" s="230"/>
      <c r="M168" s="357"/>
      <c r="N168" s="350"/>
      <c r="O168" s="1640"/>
      <c r="P168" s="1640"/>
      <c r="AH168" s="1647">
        <v>0</v>
      </c>
    </row>
    <row s="1651" customFormat="1" customHeight="1" ht="0.75" hidden="1">
      <c r="A169" s="1796"/>
      <c r="B169" s="1796"/>
      <c r="C169" s="385" t="s">
        <v>1312</v>
      </c>
      <c r="D169" s="2478"/>
      <c r="E169" s="2220"/>
      <c r="F169" s="2399"/>
      <c r="G169" s="416"/>
      <c r="H169" s="1516"/>
      <c r="I169" s="667"/>
      <c r="J169" s="587"/>
      <c r="K169" s="1516"/>
      <c r="L169" s="230"/>
      <c r="M169" s="357"/>
      <c r="N169" s="350"/>
      <c r="O169" s="1640"/>
      <c r="P169" s="1640"/>
      <c r="AH169" s="1647">
        <v>0</v>
      </c>
    </row>
    <row s="1651" customFormat="1" customHeight="1" ht="18.75" hidden="1">
      <c r="A170" s="1796" t="s">
        <v>254</v>
      </c>
      <c r="B170" s="1796" t="s">
        <v>255</v>
      </c>
      <c r="C170" s="385"/>
      <c r="D170" s="2478"/>
      <c r="E170" s="2220"/>
      <c r="F170" s="239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43" t="str">
        <f>INDEX(PT_DIFFERENTIATION_NTAR,MATCH(B170,PT_DIFFERENTIATION_NTAR_ID,0))</f>
        <v/>
      </c>
      <c r="H170" s="1878"/>
      <c r="I170" s="1755"/>
      <c r="J170" s="1789"/>
      <c r="K170" s="1794"/>
      <c r="L170" s="1878" t="s">
        <v>459</v>
      </c>
      <c r="M170" s="357"/>
      <c r="N170" s="350"/>
      <c r="O170" s="1640"/>
      <c r="P170" s="1640"/>
      <c r="AH170" s="1647">
        <v>0</v>
      </c>
    </row>
    <row s="1651" customFormat="1" customHeight="1" ht="18.75" hidden="1">
      <c r="A171" s="1796"/>
      <c r="B171" s="1796"/>
      <c r="C171" s="385" t="s">
        <v>1305</v>
      </c>
      <c r="D171" s="2478"/>
      <c r="E171" s="2220"/>
      <c r="F171" s="2399"/>
      <c r="G171" s="2443"/>
      <c r="H171" s="1516"/>
      <c r="I171" s="667" t="s">
        <v>1304</v>
      </c>
      <c r="J171" s="587"/>
      <c r="K171" s="1516"/>
      <c r="L171" s="230"/>
      <c r="M171" s="357"/>
      <c r="N171" s="350"/>
      <c r="O171" s="1640"/>
      <c r="P171" s="1640"/>
      <c r="AH171" s="1647">
        <v>0</v>
      </c>
    </row>
    <row s="1651" customFormat="1" customHeight="1" ht="0.75" hidden="1">
      <c r="A172" s="1796"/>
      <c r="B172" s="1796"/>
      <c r="C172" s="385" t="s">
        <v>1312</v>
      </c>
      <c r="D172" s="2478"/>
      <c r="E172" s="2220"/>
      <c r="F172" s="2399"/>
      <c r="G172" s="416"/>
      <c r="H172" s="1516"/>
      <c r="I172" s="667"/>
      <c r="J172" s="587"/>
      <c r="K172" s="1516"/>
      <c r="L172" s="230"/>
      <c r="M172" s="357"/>
      <c r="N172" s="350"/>
      <c r="O172" s="1640"/>
      <c r="P172" s="1640"/>
      <c r="AH172" s="1647">
        <v>0</v>
      </c>
    </row>
    <row s="1651" customFormat="1" customHeight="1" ht="18.75" hidden="1">
      <c r="A173" s="1796" t="s">
        <v>263</v>
      </c>
      <c r="B173" s="1796" t="s">
        <v>264</v>
      </c>
      <c r="C173" s="385"/>
      <c r="D173" s="2478"/>
      <c r="E173" s="2220"/>
      <c r="F173" s="2399" t="str">
        <f>INDEX(PT_DIFFERENTIATION_VTAR,MATCH(A173,PT_DIFFERENTIATION_VTAR_ID,0))</f>
        <v>Плата за подключение (технологическое присоединение) к системе теплоснабжения</v>
      </c>
      <c r="G173" s="2443" t="str">
        <f>INDEX(PT_DIFFERENTIATION_NTAR,MATCH(B173,PT_DIFFERENTIATION_NTAR_ID,0))</f>
        <v>Расходы на проведение мероприятий по подключению объектов заявителей</v>
      </c>
      <c r="H173" s="1878"/>
      <c r="I173" s="1755"/>
      <c r="J173" s="1789"/>
      <c r="K173" s="1794"/>
      <c r="L173" s="1878" t="s">
        <v>459</v>
      </c>
      <c r="M173" s="357"/>
      <c r="N173" s="350"/>
      <c r="O173" s="1640"/>
      <c r="P173" s="1640"/>
      <c r="AH173" s="1647">
        <v>0</v>
      </c>
    </row>
    <row s="1651" customFormat="1" customHeight="1" ht="18.75" hidden="1">
      <c r="A174" s="1796"/>
      <c r="B174" s="1796"/>
      <c r="C174" s="385" t="s">
        <v>1305</v>
      </c>
      <c r="D174" s="2478"/>
      <c r="E174" s="2220"/>
      <c r="F174" s="2399"/>
      <c r="G174" s="2443"/>
      <c r="H174" s="1516"/>
      <c r="I174" s="667" t="s">
        <v>1304</v>
      </c>
      <c r="J174" s="587"/>
      <c r="K174" s="1516"/>
      <c r="L174" s="230"/>
      <c r="M174" s="357"/>
      <c r="N174" s="350"/>
      <c r="O174" s="1640"/>
      <c r="P174" s="1640"/>
      <c r="AH174" s="1647">
        <v>0</v>
      </c>
    </row>
    <row s="1651" customFormat="1" customHeight="1" ht="18.75">
      <c r="A175" s="1839" t="s">
        <v>263</v>
      </c>
      <c r="B175" s="1839" t="s">
        <v>332</v>
      </c>
      <c r="C175" s="1703"/>
      <c r="D175" s="360"/>
      <c r="E175" s="1047"/>
      <c r="F175" s="1047"/>
      <c r="G175" s="2443" t="str">
        <f>INDEX(PT_DIFFERENTIATION_NTAR,MATCH(B175,PT_DIFFERENTIATION_NTAR_ID,0))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175" s="2287"/>
      <c r="I175" s="1755"/>
      <c r="J175" s="1789"/>
      <c r="K175" s="1794"/>
      <c r="L175" s="2287" t="s">
        <v>459</v>
      </c>
      <c r="M175" s="2334"/>
      <c r="N175" s="634"/>
      <c r="O175" s="1640"/>
      <c r="P175" s="1640"/>
      <c r="Q175" s="1651"/>
      <c r="R175" s="1651"/>
      <c r="S175" s="1651"/>
      <c r="T175" s="1651"/>
      <c r="U175" s="1651"/>
      <c r="V175" s="1651"/>
      <c r="W175" s="1651"/>
      <c r="X175" s="1651"/>
      <c r="Y175" s="1651"/>
      <c r="Z175" s="1651"/>
      <c r="AA175" s="1651"/>
      <c r="AB175" s="1651"/>
      <c r="AC175" s="1651"/>
      <c r="AD175" s="1651"/>
      <c r="AE175" s="1651"/>
      <c r="AF175" s="1651"/>
      <c r="AG175" s="1651"/>
      <c r="AH175" s="1651">
        <v>0</v>
      </c>
    </row>
    <row s="1651" customFormat="1" customHeight="1" ht="18.75">
      <c r="A176" s="1839"/>
      <c r="B176" s="1839"/>
      <c r="C176" s="1703" t="s">
        <v>1305</v>
      </c>
      <c r="D176" s="360"/>
      <c r="E176" s="1047"/>
      <c r="F176" s="1047"/>
      <c r="G176" s="2443"/>
      <c r="H176" s="2849"/>
      <c r="I176" s="2850" t="s">
        <v>1304</v>
      </c>
      <c r="J176" s="2851"/>
      <c r="K176" s="2852"/>
      <c r="L176" s="2853"/>
      <c r="M176" s="2334"/>
      <c r="N176" s="634"/>
      <c r="O176" s="1640"/>
      <c r="P176" s="1640"/>
      <c r="Q176" s="1651"/>
      <c r="R176" s="1651"/>
      <c r="S176" s="1651"/>
      <c r="T176" s="1651"/>
      <c r="U176" s="1651"/>
      <c r="V176" s="1651"/>
      <c r="W176" s="1651"/>
      <c r="X176" s="1651"/>
      <c r="Y176" s="1651"/>
      <c r="Z176" s="1651"/>
      <c r="AA176" s="1651"/>
      <c r="AB176" s="1651"/>
      <c r="AC176" s="1651"/>
      <c r="AD176" s="1651"/>
      <c r="AE176" s="1651"/>
      <c r="AF176" s="1651"/>
      <c r="AG176" s="1651"/>
      <c r="AH176" s="1651">
        <v>0</v>
      </c>
    </row>
    <row s="1651" customFormat="1" customHeight="1" ht="0.75" hidden="1">
      <c r="A177" s="1796"/>
      <c r="B177" s="1796"/>
      <c r="C177" s="385" t="s">
        <v>1312</v>
      </c>
      <c r="D177" s="2478"/>
      <c r="E177" s="2220"/>
      <c r="F177" s="2399"/>
      <c r="G177" s="416"/>
      <c r="H177" s="1516"/>
      <c r="I177" s="667"/>
      <c r="J177" s="587"/>
      <c r="K177" s="1516"/>
      <c r="L177" s="230"/>
      <c r="M177" s="357"/>
      <c r="N177" s="350"/>
      <c r="O177" s="1640"/>
      <c r="P177" s="1640"/>
      <c r="AH177" s="1647">
        <v>0</v>
      </c>
    </row>
    <row s="1651" customFormat="1" customHeight="1" ht="18.75" hidden="1">
      <c r="A178" s="1796" t="s">
        <v>358</v>
      </c>
      <c r="B178" s="1796" t="s">
        <v>359</v>
      </c>
      <c r="C178" s="385"/>
      <c r="D178" s="2478"/>
      <c r="E178" s="2220"/>
      <c r="F178" s="2399" t="str">
        <f>INDEX(PT_DIFFERENTIATION_VTAR,MATCH(A178,PT_DIFFERENTIATION_VTAR_ID,0))</f>
        <v>Плата за подключение (технологическое присоединение) к системе теплоснабжения (индивидуальная)</v>
      </c>
      <c r="G178" s="2443" t="str">
        <f>INDEX(PT_DIFFERENTIATION_NTAR,MATCH(B178,PT_DIFFERENTIATION_NTAR_ID,0))</f>
        <v/>
      </c>
      <c r="H178" s="2005"/>
      <c r="I178" s="1755"/>
      <c r="J178" s="1789"/>
      <c r="K178" s="1794"/>
      <c r="L178" s="2005" t="s">
        <v>459</v>
      </c>
      <c r="M178" s="357"/>
      <c r="N178" s="350"/>
      <c r="O178" s="1640"/>
      <c r="P178" s="1640"/>
      <c r="AH178" s="1647">
        <v>0</v>
      </c>
    </row>
    <row s="1651" customFormat="1" customHeight="1" ht="18.75" hidden="1">
      <c r="A179" s="1796"/>
      <c r="B179" s="1796"/>
      <c r="C179" s="385" t="s">
        <v>1305</v>
      </c>
      <c r="D179" s="2478"/>
      <c r="E179" s="2220"/>
      <c r="F179" s="2399"/>
      <c r="G179" s="2443"/>
      <c r="H179" s="1516"/>
      <c r="I179" s="667" t="s">
        <v>1304</v>
      </c>
      <c r="J179" s="587"/>
      <c r="K179" s="1516"/>
      <c r="L179" s="230"/>
      <c r="M179" s="357"/>
      <c r="N179" s="350"/>
      <c r="O179" s="1640"/>
      <c r="P179" s="1640"/>
      <c r="AH179" s="1647">
        <v>0</v>
      </c>
    </row>
    <row s="1651" customFormat="1" customHeight="1" ht="0.75" hidden="1">
      <c r="A180" s="1796"/>
      <c r="B180" s="1796"/>
      <c r="C180" s="385" t="s">
        <v>1312</v>
      </c>
      <c r="D180" s="2478"/>
      <c r="E180" s="2220"/>
      <c r="F180" s="2399"/>
      <c r="G180" s="416"/>
      <c r="H180" s="1516"/>
      <c r="I180" s="667"/>
      <c r="J180" s="587"/>
      <c r="K180" s="1516"/>
      <c r="L180" s="230"/>
      <c r="M180" s="357"/>
      <c r="N180" s="350"/>
      <c r="O180" s="1640"/>
      <c r="P180" s="1640"/>
      <c r="AH180" s="1647">
        <v>0</v>
      </c>
    </row>
    <row s="1651" customFormat="1" customHeight="1" ht="18.75" hidden="1">
      <c r="A181" s="1796" t="s">
        <v>378</v>
      </c>
      <c r="B181" s="1796" t="s">
        <v>379</v>
      </c>
      <c r="C181" s="385"/>
      <c r="D181" s="2478"/>
      <c r="E181" s="2220"/>
      <c r="F181" s="2399" t="str">
        <f>INDEX(PT_DIFFERENTIATION_VTAR,MATCH(A181,PT_DIFFERENTIATION_VTAR_ID,0))</f>
        <v>Тариф на питьевую воду (питьевое водоснабжение)</v>
      </c>
      <c r="G181" s="2443" t="str">
        <f>INDEX(PT_DIFFERENTIATION_NTAR,MATCH(B181,PT_DIFFERENTIATION_NTAR_ID,0))</f>
        <v/>
      </c>
      <c r="H181" s="1878"/>
      <c r="I181" s="1755"/>
      <c r="J181" s="1789"/>
      <c r="K181" s="1794"/>
      <c r="L181" s="1878" t="s">
        <v>459</v>
      </c>
      <c r="M181" s="357"/>
      <c r="N181" s="350"/>
      <c r="O181" s="1640"/>
      <c r="P181" s="1640"/>
      <c r="AH181" s="1647">
        <v>0</v>
      </c>
    </row>
    <row s="1651" customFormat="1" customHeight="1" ht="18.75" hidden="1">
      <c r="A182" s="1796"/>
      <c r="B182" s="1796"/>
      <c r="C182" s="385" t="s">
        <v>1305</v>
      </c>
      <c r="D182" s="2478"/>
      <c r="E182" s="2220"/>
      <c r="F182" s="2399"/>
      <c r="G182" s="2443"/>
      <c r="H182" s="1516"/>
      <c r="I182" s="667" t="s">
        <v>1304</v>
      </c>
      <c r="J182" s="587"/>
      <c r="K182" s="1516"/>
      <c r="L182" s="230"/>
      <c r="M182" s="357"/>
      <c r="N182" s="350"/>
      <c r="O182" s="1640"/>
      <c r="P182" s="1640"/>
      <c r="AH182" s="1647">
        <v>0</v>
      </c>
    </row>
    <row s="1651" customFormat="1" customHeight="1" ht="0.75" hidden="1">
      <c r="A183" s="1796"/>
      <c r="B183" s="1796"/>
      <c r="C183" s="385" t="s">
        <v>1312</v>
      </c>
      <c r="D183" s="2478"/>
      <c r="E183" s="2220"/>
      <c r="F183" s="2399"/>
      <c r="G183" s="416"/>
      <c r="H183" s="1516"/>
      <c r="I183" s="667"/>
      <c r="J183" s="587"/>
      <c r="K183" s="1516"/>
      <c r="L183" s="230"/>
      <c r="M183" s="357"/>
      <c r="N183" s="350"/>
      <c r="O183" s="1640"/>
      <c r="P183" s="1640"/>
      <c r="AH183" s="1647">
        <v>0</v>
      </c>
    </row>
    <row s="1651" customFormat="1" customHeight="1" ht="18.75" hidden="1">
      <c r="A184" s="1796" t="s">
        <v>383</v>
      </c>
      <c r="B184" s="1796" t="s">
        <v>384</v>
      </c>
      <c r="C184" s="385"/>
      <c r="D184" s="2478"/>
      <c r="E184" s="2220"/>
      <c r="F184" s="2399" t="str">
        <f>INDEX(PT_DIFFERENTIATION_VTAR,MATCH(A184,PT_DIFFERENTIATION_VTAR_ID,0))</f>
        <v>Тариф на техническую воду</v>
      </c>
      <c r="G184" s="2443" t="str">
        <f>INDEX(PT_DIFFERENTIATION_NTAR,MATCH(B184,PT_DIFFERENTIATION_NTAR_ID,0))</f>
        <v/>
      </c>
      <c r="H184" s="1878"/>
      <c r="I184" s="1755"/>
      <c r="J184" s="1789"/>
      <c r="K184" s="1794"/>
      <c r="L184" s="1878" t="s">
        <v>459</v>
      </c>
      <c r="M184" s="357"/>
      <c r="N184" s="350"/>
      <c r="O184" s="1640"/>
      <c r="P184" s="1640"/>
      <c r="AH184" s="1647">
        <v>0</v>
      </c>
    </row>
    <row s="1651" customFormat="1" customHeight="1" ht="18.75" hidden="1">
      <c r="A185" s="1796"/>
      <c r="B185" s="1796"/>
      <c r="C185" s="385" t="s">
        <v>1305</v>
      </c>
      <c r="D185" s="2478"/>
      <c r="E185" s="2220"/>
      <c r="F185" s="2399"/>
      <c r="G185" s="2443"/>
      <c r="H185" s="1516"/>
      <c r="I185" s="667" t="s">
        <v>1304</v>
      </c>
      <c r="J185" s="587"/>
      <c r="K185" s="1516"/>
      <c r="L185" s="230"/>
      <c r="M185" s="357"/>
      <c r="N185" s="350"/>
      <c r="O185" s="1640"/>
      <c r="P185" s="1640"/>
      <c r="AH185" s="1647">
        <v>0</v>
      </c>
    </row>
    <row s="1651" customFormat="1" customHeight="1" ht="0.75" hidden="1">
      <c r="A186" s="1796"/>
      <c r="B186" s="1796"/>
      <c r="C186" s="385" t="s">
        <v>1312</v>
      </c>
      <c r="D186" s="2478"/>
      <c r="E186" s="2220"/>
      <c r="F186" s="2399"/>
      <c r="G186" s="416"/>
      <c r="H186" s="1516"/>
      <c r="I186" s="667"/>
      <c r="J186" s="587"/>
      <c r="K186" s="1516"/>
      <c r="L186" s="230"/>
      <c r="M186" s="357"/>
      <c r="N186" s="350"/>
      <c r="O186" s="1640"/>
      <c r="P186" s="1640"/>
      <c r="AH186" s="1647">
        <v>0</v>
      </c>
    </row>
    <row s="1651" customFormat="1" customHeight="1" ht="18.75" hidden="1">
      <c r="A187" s="1796" t="s">
        <v>388</v>
      </c>
      <c r="B187" s="1796" t="s">
        <v>389</v>
      </c>
      <c r="C187" s="385"/>
      <c r="D187" s="2478"/>
      <c r="E187" s="2220"/>
      <c r="F187" s="2399" t="str">
        <f>INDEX(PT_DIFFERENTIATION_VTAR,MATCH(A187,PT_DIFFERENTIATION_VTAR_ID,0))</f>
        <v>Тариф на транспортировку воды</v>
      </c>
      <c r="G187" s="2443" t="str">
        <f>INDEX(PT_DIFFERENTIATION_NTAR,MATCH(B187,PT_DIFFERENTIATION_NTAR_ID,0))</f>
        <v/>
      </c>
      <c r="H187" s="1878"/>
      <c r="I187" s="1755"/>
      <c r="J187" s="1789"/>
      <c r="K187" s="1794"/>
      <c r="L187" s="1878" t="s">
        <v>459</v>
      </c>
      <c r="M187" s="357"/>
      <c r="N187" s="350"/>
      <c r="O187" s="1640"/>
      <c r="P187" s="1640"/>
      <c r="AH187" s="1647">
        <v>0</v>
      </c>
    </row>
    <row s="1651" customFormat="1" customHeight="1" ht="18.75" hidden="1">
      <c r="A188" s="1796"/>
      <c r="B188" s="1796"/>
      <c r="C188" s="385" t="s">
        <v>1305</v>
      </c>
      <c r="D188" s="2478"/>
      <c r="E188" s="2220"/>
      <c r="F188" s="2399"/>
      <c r="G188" s="2443"/>
      <c r="H188" s="1516"/>
      <c r="I188" s="667" t="s">
        <v>1304</v>
      </c>
      <c r="J188" s="587"/>
      <c r="K188" s="1516"/>
      <c r="L188" s="230"/>
      <c r="M188" s="357"/>
      <c r="N188" s="350"/>
      <c r="O188" s="1640"/>
      <c r="P188" s="1640"/>
      <c r="AH188" s="1647">
        <v>0</v>
      </c>
    </row>
    <row s="1651" customFormat="1" customHeight="1" ht="0.75" hidden="1">
      <c r="A189" s="1796"/>
      <c r="B189" s="1796"/>
      <c r="C189" s="385" t="s">
        <v>1312</v>
      </c>
      <c r="D189" s="2478"/>
      <c r="E189" s="2220"/>
      <c r="F189" s="2399"/>
      <c r="G189" s="416"/>
      <c r="H189" s="1516"/>
      <c r="I189" s="667"/>
      <c r="J189" s="587"/>
      <c r="K189" s="1516"/>
      <c r="L189" s="230"/>
      <c r="M189" s="357"/>
      <c r="N189" s="350"/>
      <c r="O189" s="1640"/>
      <c r="P189" s="1640"/>
      <c r="AH189" s="1647">
        <v>0</v>
      </c>
    </row>
    <row s="1651" customFormat="1" customHeight="1" ht="18.75" hidden="1">
      <c r="A190" s="1796" t="s">
        <v>393</v>
      </c>
      <c r="B190" s="1796" t="s">
        <v>394</v>
      </c>
      <c r="C190" s="385"/>
      <c r="D190" s="2478"/>
      <c r="E190" s="2220"/>
      <c r="F190" s="2399" t="str">
        <f>INDEX(PT_DIFFERENTIATION_VTAR,MATCH(A190,PT_DIFFERENTIATION_VTAR_ID,0))</f>
        <v>Тариф на подвоз воды</v>
      </c>
      <c r="G190" s="2443" t="str">
        <f>INDEX(PT_DIFFERENTIATION_NTAR,MATCH(B190,PT_DIFFERENTIATION_NTAR_ID,0))</f>
        <v/>
      </c>
      <c r="H190" s="1878"/>
      <c r="I190" s="1755"/>
      <c r="J190" s="1789"/>
      <c r="K190" s="1794"/>
      <c r="L190" s="1878" t="s">
        <v>459</v>
      </c>
      <c r="M190" s="357"/>
      <c r="N190" s="350"/>
      <c r="O190" s="1640"/>
      <c r="P190" s="1640"/>
      <c r="AH190" s="1647">
        <v>0</v>
      </c>
    </row>
    <row s="1651" customFormat="1" customHeight="1" ht="18.75" hidden="1">
      <c r="A191" s="1796"/>
      <c r="B191" s="1796"/>
      <c r="C191" s="385" t="s">
        <v>1305</v>
      </c>
      <c r="D191" s="2478"/>
      <c r="E191" s="2220"/>
      <c r="F191" s="2399"/>
      <c r="G191" s="2443"/>
      <c r="H191" s="1516"/>
      <c r="I191" s="667" t="s">
        <v>1304</v>
      </c>
      <c r="J191" s="587"/>
      <c r="K191" s="1516"/>
      <c r="L191" s="230"/>
      <c r="M191" s="357"/>
      <c r="N191" s="350"/>
      <c r="O191" s="1640"/>
      <c r="P191" s="1640"/>
      <c r="AH191" s="1647">
        <v>0</v>
      </c>
    </row>
    <row s="1651" customFormat="1" customHeight="1" ht="0.75" hidden="1">
      <c r="A192" s="1796"/>
      <c r="B192" s="1796"/>
      <c r="C192" s="385" t="s">
        <v>1312</v>
      </c>
      <c r="D192" s="2478"/>
      <c r="E192" s="2220"/>
      <c r="F192" s="2399"/>
      <c r="G192" s="416"/>
      <c r="H192" s="1516"/>
      <c r="I192" s="667"/>
      <c r="J192" s="587"/>
      <c r="K192" s="1516"/>
      <c r="L192" s="230"/>
      <c r="M192" s="357"/>
      <c r="N192" s="350"/>
      <c r="O192" s="1640"/>
      <c r="P192" s="1640"/>
      <c r="AH192" s="1647">
        <v>0</v>
      </c>
    </row>
    <row s="1651" customFormat="1" customHeight="1" ht="18.75" hidden="1">
      <c r="A193" s="1796" t="s">
        <v>398</v>
      </c>
      <c r="B193" s="1796" t="s">
        <v>399</v>
      </c>
      <c r="C193" s="385"/>
      <c r="D193" s="2478"/>
      <c r="E193" s="2220"/>
      <c r="F193" s="239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43" t="str">
        <f>INDEX(PT_DIFFERENTIATION_NTAR,MATCH(B193,PT_DIFFERENTIATION_NTAR_ID,0))</f>
        <v/>
      </c>
      <c r="H193" s="1878"/>
      <c r="I193" s="1755"/>
      <c r="J193" s="1789"/>
      <c r="K193" s="1794"/>
      <c r="L193" s="1878" t="s">
        <v>459</v>
      </c>
      <c r="M193" s="357"/>
      <c r="N193" s="350"/>
      <c r="O193" s="1640"/>
      <c r="P193" s="1640"/>
      <c r="AH193" s="1647">
        <v>0</v>
      </c>
    </row>
    <row s="1651" customFormat="1" customHeight="1" ht="18.75" hidden="1">
      <c r="A194" s="1796"/>
      <c r="B194" s="1796"/>
      <c r="C194" s="385" t="s">
        <v>1305</v>
      </c>
      <c r="D194" s="2478"/>
      <c r="E194" s="2220"/>
      <c r="F194" s="2399"/>
      <c r="G194" s="2443"/>
      <c r="H194" s="1516"/>
      <c r="I194" s="667" t="s">
        <v>1304</v>
      </c>
      <c r="J194" s="587"/>
      <c r="K194" s="1516"/>
      <c r="L194" s="230"/>
      <c r="M194" s="357"/>
      <c r="N194" s="350"/>
      <c r="O194" s="1640"/>
      <c r="P194" s="1640"/>
      <c r="AH194" s="1647">
        <v>0</v>
      </c>
    </row>
    <row s="1651" customFormat="1" customHeight="1" ht="0.75" hidden="1">
      <c r="A195" s="1796"/>
      <c r="B195" s="1796"/>
      <c r="C195" s="385" t="s">
        <v>1312</v>
      </c>
      <c r="D195" s="2478"/>
      <c r="E195" s="2220"/>
      <c r="F195" s="2399"/>
      <c r="G195" s="416"/>
      <c r="H195" s="1516"/>
      <c r="I195" s="667"/>
      <c r="J195" s="587"/>
      <c r="K195" s="1516"/>
      <c r="L195" s="230"/>
      <c r="M195" s="357"/>
      <c r="N195" s="350"/>
      <c r="O195" s="1640"/>
      <c r="P195" s="1640"/>
      <c r="AH195" s="1647">
        <v>0</v>
      </c>
    </row>
    <row s="1651" customFormat="1" customHeight="1" ht="18.75" hidden="1">
      <c r="A196" s="1796" t="s">
        <v>403</v>
      </c>
      <c r="B196" s="1796" t="s">
        <v>404</v>
      </c>
      <c r="C196" s="385"/>
      <c r="D196" s="2478"/>
      <c r="E196" s="2220"/>
      <c r="F196" s="2399" t="str">
        <f>INDEX(PT_DIFFERENTIATION_VTAR,MATCH(A196,PT_DIFFERENTIATION_VTAR_ID,0))</f>
        <v>Тариф на горячую воду (горячее водоснабжение)</v>
      </c>
      <c r="G196" s="2443" t="str">
        <f>INDEX(PT_DIFFERENTIATION_NTAR,MATCH(B196,PT_DIFFERENTIATION_NTAR_ID,0))</f>
        <v/>
      </c>
      <c r="H196" s="1878"/>
      <c r="I196" s="1755"/>
      <c r="J196" s="1789"/>
      <c r="K196" s="1794"/>
      <c r="L196" s="1878" t="s">
        <v>459</v>
      </c>
      <c r="M196" s="357"/>
      <c r="N196" s="350"/>
      <c r="O196" s="1640"/>
      <c r="P196" s="1640"/>
      <c r="AH196" s="1647">
        <v>0</v>
      </c>
    </row>
    <row s="1651" customFormat="1" customHeight="1" ht="18.75" hidden="1">
      <c r="A197" s="1796"/>
      <c r="B197" s="1796"/>
      <c r="C197" s="385" t="s">
        <v>1305</v>
      </c>
      <c r="D197" s="2478"/>
      <c r="E197" s="2220"/>
      <c r="F197" s="2399"/>
      <c r="G197" s="2443"/>
      <c r="H197" s="1516"/>
      <c r="I197" s="667" t="s">
        <v>1304</v>
      </c>
      <c r="J197" s="587"/>
      <c r="K197" s="1516"/>
      <c r="L197" s="230"/>
      <c r="M197" s="357"/>
      <c r="N197" s="350"/>
      <c r="O197" s="1640"/>
      <c r="P197" s="1640"/>
      <c r="AH197" s="1647">
        <v>0</v>
      </c>
    </row>
    <row s="1651" customFormat="1" customHeight="1" ht="0.75" hidden="1">
      <c r="A198" s="1796"/>
      <c r="B198" s="1796"/>
      <c r="C198" s="385" t="s">
        <v>1312</v>
      </c>
      <c r="D198" s="2478"/>
      <c r="E198" s="2220"/>
      <c r="F198" s="2399"/>
      <c r="G198" s="416"/>
      <c r="H198" s="1516"/>
      <c r="I198" s="667"/>
      <c r="J198" s="587"/>
      <c r="K198" s="1516"/>
      <c r="L198" s="230"/>
      <c r="M198" s="357"/>
      <c r="N198" s="350"/>
      <c r="O198" s="1640"/>
      <c r="P198" s="1640"/>
      <c r="AH198" s="1647">
        <v>0</v>
      </c>
    </row>
    <row s="1651" customFormat="1" customHeight="1" ht="18.75" hidden="1">
      <c r="A199" s="1796" t="s">
        <v>408</v>
      </c>
      <c r="B199" s="1796" t="s">
        <v>409</v>
      </c>
      <c r="C199" s="385"/>
      <c r="D199" s="2478"/>
      <c r="E199" s="2220"/>
      <c r="F199" s="2399" t="str">
        <f>INDEX(PT_DIFFERENTIATION_VTAR,MATCH(A199,PT_DIFFERENTIATION_VTAR_ID,0))</f>
        <v>Тариф на транспортировку горячей воды</v>
      </c>
      <c r="G199" s="2443" t="str">
        <f>INDEX(PT_DIFFERENTIATION_NTAR,MATCH(B199,PT_DIFFERENTIATION_NTAR_ID,0))</f>
        <v/>
      </c>
      <c r="H199" s="1878"/>
      <c r="I199" s="1755"/>
      <c r="J199" s="1789"/>
      <c r="K199" s="1794"/>
      <c r="L199" s="1878" t="s">
        <v>459</v>
      </c>
      <c r="M199" s="357"/>
      <c r="N199" s="350"/>
      <c r="O199" s="1640"/>
      <c r="P199" s="1640"/>
      <c r="AH199" s="1647">
        <v>0</v>
      </c>
    </row>
    <row s="1651" customFormat="1" customHeight="1" ht="18.75" hidden="1">
      <c r="A200" s="1796"/>
      <c r="B200" s="1796"/>
      <c r="C200" s="385" t="s">
        <v>1305</v>
      </c>
      <c r="D200" s="2478"/>
      <c r="E200" s="2220"/>
      <c r="F200" s="2399"/>
      <c r="G200" s="2443"/>
      <c r="H200" s="1516"/>
      <c r="I200" s="667" t="s">
        <v>1304</v>
      </c>
      <c r="J200" s="587"/>
      <c r="K200" s="1516"/>
      <c r="L200" s="230"/>
      <c r="M200" s="357"/>
      <c r="N200" s="350"/>
      <c r="O200" s="1640"/>
      <c r="P200" s="1640"/>
      <c r="AH200" s="1647">
        <v>0</v>
      </c>
    </row>
    <row s="1651" customFormat="1" customHeight="1" ht="0.75" hidden="1">
      <c r="A201" s="1796"/>
      <c r="B201" s="1796"/>
      <c r="C201" s="385" t="s">
        <v>1312</v>
      </c>
      <c r="D201" s="2478"/>
      <c r="E201" s="2220"/>
      <c r="F201" s="2399"/>
      <c r="G201" s="416"/>
      <c r="H201" s="1516"/>
      <c r="I201" s="667"/>
      <c r="J201" s="587"/>
      <c r="K201" s="1516"/>
      <c r="L201" s="230"/>
      <c r="M201" s="357"/>
      <c r="N201" s="350"/>
      <c r="O201" s="1640"/>
      <c r="P201" s="1640"/>
      <c r="AH201" s="1647">
        <v>0</v>
      </c>
    </row>
    <row s="1651" customFormat="1" customHeight="1" ht="18.75" hidden="1">
      <c r="A202" s="1796" t="s">
        <v>413</v>
      </c>
      <c r="B202" s="1796" t="s">
        <v>414</v>
      </c>
      <c r="C202" s="385"/>
      <c r="D202" s="2478"/>
      <c r="E202" s="2220"/>
      <c r="F202" s="2399"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43" t="str">
        <f>INDEX(PT_DIFFERENTIATION_NTAR,MATCH(B202,PT_DIFFERENTIATION_NTAR_ID,0))</f>
        <v/>
      </c>
      <c r="H202" s="1878"/>
      <c r="I202" s="1755"/>
      <c r="J202" s="1789"/>
      <c r="K202" s="1794"/>
      <c r="L202" s="1878" t="s">
        <v>459</v>
      </c>
      <c r="M202" s="357"/>
      <c r="N202" s="350"/>
      <c r="O202" s="1640"/>
      <c r="P202" s="1640"/>
      <c r="AH202" s="1647">
        <v>0</v>
      </c>
    </row>
    <row s="1651" customFormat="1" customHeight="1" ht="18.75" hidden="1">
      <c r="A203" s="1796"/>
      <c r="B203" s="1796"/>
      <c r="C203" s="385" t="s">
        <v>1305</v>
      </c>
      <c r="D203" s="2478"/>
      <c r="E203" s="2220"/>
      <c r="F203" s="2399"/>
      <c r="G203" s="2443"/>
      <c r="H203" s="1516"/>
      <c r="I203" s="667" t="s">
        <v>1304</v>
      </c>
      <c r="J203" s="587"/>
      <c r="K203" s="1516"/>
      <c r="L203" s="230"/>
      <c r="M203" s="357"/>
      <c r="N203" s="350"/>
      <c r="O203" s="1640"/>
      <c r="P203" s="1640"/>
      <c r="AH203" s="1647">
        <v>0</v>
      </c>
    </row>
    <row s="1651" customFormat="1" customHeight="1" ht="0.75" hidden="1">
      <c r="A204" s="1796"/>
      <c r="B204" s="1796"/>
      <c r="C204" s="385" t="s">
        <v>1312</v>
      </c>
      <c r="D204" s="2478"/>
      <c r="E204" s="2220"/>
      <c r="F204" s="2399"/>
      <c r="G204" s="416"/>
      <c r="H204" s="1516"/>
      <c r="I204" s="667"/>
      <c r="J204" s="587"/>
      <c r="K204" s="1516"/>
      <c r="L204" s="230"/>
      <c r="M204" s="357"/>
      <c r="N204" s="350"/>
      <c r="O204" s="1640"/>
      <c r="P204" s="1640"/>
      <c r="AH204" s="1647">
        <v>0</v>
      </c>
    </row>
    <row s="1651" customFormat="1" customHeight="1" ht="18.75" hidden="1">
      <c r="A205" s="1796" t="s">
        <v>418</v>
      </c>
      <c r="B205" s="1796" t="s">
        <v>419</v>
      </c>
      <c r="C205" s="385"/>
      <c r="D205" s="2478"/>
      <c r="E205" s="2220"/>
      <c r="F205" s="2399" t="str">
        <f>INDEX(PT_DIFFERENTIATION_VTAR,MATCH(A205,PT_DIFFERENTIATION_VTAR_ID,0))</f>
        <v>Тариф на водоотведение</v>
      </c>
      <c r="G205" s="2443" t="str">
        <f>INDEX(PT_DIFFERENTIATION_NTAR,MATCH(B205,PT_DIFFERENTIATION_NTAR_ID,0))</f>
        <v/>
      </c>
      <c r="H205" s="1878"/>
      <c r="I205" s="1755"/>
      <c r="J205" s="1789"/>
      <c r="K205" s="1794"/>
      <c r="L205" s="1878" t="s">
        <v>459</v>
      </c>
      <c r="M205" s="357"/>
      <c r="N205" s="350"/>
      <c r="O205" s="1640"/>
      <c r="P205" s="1640"/>
      <c r="AH205" s="1647">
        <v>0</v>
      </c>
    </row>
    <row s="1651" customFormat="1" customHeight="1" ht="18.75" hidden="1">
      <c r="A206" s="1796"/>
      <c r="B206" s="1796"/>
      <c r="C206" s="385" t="s">
        <v>1305</v>
      </c>
      <c r="D206" s="2478"/>
      <c r="E206" s="2220"/>
      <c r="F206" s="2399"/>
      <c r="G206" s="2443"/>
      <c r="H206" s="1516"/>
      <c r="I206" s="667" t="s">
        <v>1304</v>
      </c>
      <c r="J206" s="587"/>
      <c r="K206" s="1516"/>
      <c r="L206" s="230"/>
      <c r="M206" s="357"/>
      <c r="N206" s="350"/>
      <c r="O206" s="1640"/>
      <c r="P206" s="1640"/>
      <c r="AH206" s="1647">
        <v>0</v>
      </c>
    </row>
    <row s="1651" customFormat="1" customHeight="1" ht="0.75" hidden="1">
      <c r="A207" s="1796"/>
      <c r="B207" s="1796"/>
      <c r="C207" s="385" t="s">
        <v>1312</v>
      </c>
      <c r="D207" s="2478"/>
      <c r="E207" s="2220"/>
      <c r="F207" s="2399"/>
      <c r="G207" s="416"/>
      <c r="H207" s="1516"/>
      <c r="I207" s="667"/>
      <c r="J207" s="587"/>
      <c r="K207" s="1516"/>
      <c r="L207" s="230"/>
      <c r="M207" s="357"/>
      <c r="N207" s="350"/>
      <c r="O207" s="1640"/>
      <c r="P207" s="1640"/>
      <c r="AH207" s="1647">
        <v>0</v>
      </c>
    </row>
    <row s="1651" customFormat="1" customHeight="1" ht="18.75" hidden="1">
      <c r="A208" s="1796" t="s">
        <v>423</v>
      </c>
      <c r="B208" s="1796" t="s">
        <v>424</v>
      </c>
      <c r="C208" s="385"/>
      <c r="D208" s="2478"/>
      <c r="E208" s="2220"/>
      <c r="F208" s="2399" t="str">
        <f>INDEX(PT_DIFFERENTIATION_VTAR,MATCH(A208,PT_DIFFERENTIATION_VTAR_ID,0))</f>
        <v>Тариф на транспортировку сточных вод</v>
      </c>
      <c r="G208" s="2443" t="str">
        <f>INDEX(PT_DIFFERENTIATION_NTAR,MATCH(B208,PT_DIFFERENTIATION_NTAR_ID,0))</f>
        <v/>
      </c>
      <c r="H208" s="1878"/>
      <c r="I208" s="1755"/>
      <c r="J208" s="1789"/>
      <c r="K208" s="1794"/>
      <c r="L208" s="1878" t="s">
        <v>459</v>
      </c>
      <c r="M208" s="357"/>
      <c r="N208" s="350"/>
      <c r="O208" s="1640"/>
      <c r="P208" s="1640"/>
      <c r="AH208" s="1647">
        <v>0</v>
      </c>
    </row>
    <row s="1651" customFormat="1" customHeight="1" ht="18.75" hidden="1">
      <c r="A209" s="1796"/>
      <c r="B209" s="1796"/>
      <c r="C209" s="385" t="s">
        <v>1305</v>
      </c>
      <c r="D209" s="2478"/>
      <c r="E209" s="2220"/>
      <c r="F209" s="2399"/>
      <c r="G209" s="2443"/>
      <c r="H209" s="1516"/>
      <c r="I209" s="667" t="s">
        <v>1304</v>
      </c>
      <c r="J209" s="587"/>
      <c r="K209" s="1516"/>
      <c r="L209" s="230"/>
      <c r="M209" s="357"/>
      <c r="N209" s="350"/>
      <c r="O209" s="1640"/>
      <c r="P209" s="1640"/>
      <c r="AH209" s="1647">
        <v>0</v>
      </c>
    </row>
    <row s="1651" customFormat="1" customHeight="1" ht="0.75" hidden="1">
      <c r="A210" s="1796"/>
      <c r="B210" s="1796"/>
      <c r="C210" s="385" t="s">
        <v>1312</v>
      </c>
      <c r="D210" s="2478"/>
      <c r="E210" s="2220"/>
      <c r="F210" s="2399"/>
      <c r="G210" s="416"/>
      <c r="H210" s="1516"/>
      <c r="I210" s="667"/>
      <c r="J210" s="587"/>
      <c r="K210" s="1516"/>
      <c r="L210" s="230"/>
      <c r="M210" s="357"/>
      <c r="N210" s="350"/>
      <c r="O210" s="1640"/>
      <c r="P210" s="1640"/>
      <c r="AH210" s="1647">
        <v>0</v>
      </c>
    </row>
    <row s="1651" customFormat="1" customHeight="1" ht="18.75" hidden="1">
      <c r="A211" s="1796" t="s">
        <v>428</v>
      </c>
      <c r="B211" s="1796" t="s">
        <v>429</v>
      </c>
      <c r="C211" s="385"/>
      <c r="D211" s="2478"/>
      <c r="E211" s="2220"/>
      <c r="F211" s="2399" t="str">
        <f>INDEX(PT_DIFFERENTIATION_VTAR,MATCH(A211,PT_DIFFERENTIATION_VTAR_ID,0))</f>
        <v>Тариф на подключение (технологическое присоединение) к централизованной системе водоотведения</v>
      </c>
      <c r="G211" s="2443" t="str">
        <f>INDEX(PT_DIFFERENTIATION_NTAR,MATCH(B211,PT_DIFFERENTIATION_NTAR_ID,0))</f>
        <v/>
      </c>
      <c r="H211" s="1878"/>
      <c r="I211" s="1755"/>
      <c r="J211" s="1789"/>
      <c r="K211" s="1794"/>
      <c r="L211" s="1878" t="s">
        <v>459</v>
      </c>
      <c r="M211" s="357"/>
      <c r="N211" s="350"/>
      <c r="O211" s="1640"/>
      <c r="P211" s="1640"/>
      <c r="AH211" s="1647">
        <v>0</v>
      </c>
    </row>
    <row s="1651" customFormat="1" customHeight="1" ht="18.75" hidden="1">
      <c r="A212" s="1796"/>
      <c r="B212" s="1796"/>
      <c r="C212" s="385" t="s">
        <v>1305</v>
      </c>
      <c r="D212" s="2478"/>
      <c r="E212" s="2220"/>
      <c r="F212" s="2399"/>
      <c r="G212" s="2443"/>
      <c r="H212" s="1516"/>
      <c r="I212" s="667" t="s">
        <v>1304</v>
      </c>
      <c r="J212" s="587"/>
      <c r="K212" s="1516"/>
      <c r="L212" s="230"/>
      <c r="M212" s="357"/>
      <c r="N212" s="350"/>
      <c r="O212" s="1640"/>
      <c r="P212" s="1640"/>
      <c r="AH212" s="1647">
        <v>0</v>
      </c>
    </row>
    <row s="1651" customFormat="1" customHeight="1" ht="1.05">
      <c r="A213" s="1796"/>
      <c r="B213" s="1796"/>
      <c r="C213" s="385" t="s">
        <v>1312</v>
      </c>
      <c r="D213" s="2478"/>
      <c r="E213" s="2220"/>
      <c r="F213" s="2399"/>
      <c r="G213" s="416"/>
      <c r="H213" s="1516"/>
      <c r="I213" s="667"/>
      <c r="J213" s="587"/>
      <c r="K213" s="1516"/>
      <c r="L213" s="230"/>
      <c r="M213" s="357"/>
      <c r="N213" s="350"/>
      <c r="O213" s="1640"/>
      <c r="P213" s="1640"/>
      <c r="AH213" s="1647">
        <v>1</v>
      </c>
    </row>
    <row customHeight="1" ht="27.299999999999997">
      <c r="A214" s="1796"/>
      <c r="B214" s="1796"/>
      <c r="D214" s="392"/>
      <c r="E214" s="163" t="s">
        <v>122</v>
      </c>
      <c r="F214" s="2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76"/>
      <c r="H214" s="2476"/>
      <c r="I214" s="2476"/>
      <c r="J214" s="2476"/>
      <c r="K214" s="2476"/>
      <c r="L214" s="2476"/>
      <c r="M214" s="313"/>
      <c r="N214" s="350"/>
      <c r="AH214" s="390">
        <v>26</v>
      </c>
    </row>
    <row s="1651" customFormat="1" customHeight="1" ht="60.75" hidden="1">
      <c r="A215" s="1796" t="s">
        <v>218</v>
      </c>
      <c r="B215" s="1796" t="s">
        <v>219</v>
      </c>
      <c r="C215" s="385"/>
      <c r="D215" s="2478"/>
      <c r="E215" s="2220"/>
      <c r="F215" s="239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43" t="str">
        <f>INDEX(PT_DIFFERENTIATION_NTAR,MATCH(B215,PT_DIFFERENTIATION_NTAR_ID,0))</f>
        <v/>
      </c>
      <c r="H215" s="1878"/>
      <c r="I215" s="1755"/>
      <c r="J215" s="1789"/>
      <c r="K215" s="1794"/>
      <c r="L215" s="1878" t="s">
        <v>459</v>
      </c>
      <c r="M215"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50"/>
      <c r="O215" s="1640"/>
      <c r="P215" s="1640"/>
      <c r="AH215" s="1647">
        <v>0</v>
      </c>
    </row>
    <row s="1651" customFormat="1" customHeight="1" ht="18.75" hidden="1">
      <c r="A216" s="1796"/>
      <c r="B216" s="1796"/>
      <c r="C216" s="385" t="s">
        <v>1305</v>
      </c>
      <c r="D216" s="2478"/>
      <c r="E216" s="2220"/>
      <c r="F216" s="2399"/>
      <c r="G216" s="2443"/>
      <c r="H216" s="1516"/>
      <c r="I216" s="667" t="s">
        <v>1304</v>
      </c>
      <c r="J216" s="587"/>
      <c r="K216" s="1516"/>
      <c r="L216" s="230"/>
      <c r="M216" s="2186"/>
      <c r="N216" s="350"/>
      <c r="O216" s="1640"/>
      <c r="P216" s="1640"/>
      <c r="AH216" s="1647">
        <v>0</v>
      </c>
    </row>
    <row s="1651" customFormat="1" customHeight="1" ht="0.75" hidden="1">
      <c r="A217" s="1796"/>
      <c r="B217" s="1796"/>
      <c r="C217" s="385" t="s">
        <v>1312</v>
      </c>
      <c r="D217" s="2478"/>
      <c r="E217" s="2220"/>
      <c r="F217" s="2399"/>
      <c r="G217" s="416"/>
      <c r="H217" s="1516"/>
      <c r="I217" s="667"/>
      <c r="J217" s="587"/>
      <c r="K217" s="1516"/>
      <c r="L217" s="230"/>
      <c r="M217" s="2186"/>
      <c r="N217" s="350"/>
      <c r="O217" s="1640"/>
      <c r="P217" s="1640"/>
      <c r="AH217" s="1647">
        <v>0</v>
      </c>
    </row>
    <row s="1651" customFormat="1" customHeight="1" ht="45" hidden="1">
      <c r="A218" s="1796" t="s">
        <v>224</v>
      </c>
      <c r="B218" s="1796" t="s">
        <v>225</v>
      </c>
      <c r="C218" s="385"/>
      <c r="D218" s="2478"/>
      <c r="E218" s="2220"/>
      <c r="F218" s="2399"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43" t="str">
        <f>INDEX(PT_DIFFERENTIATION_NTAR,MATCH(B218,PT_DIFFERENTIATION_NTAR_ID,0))</f>
        <v/>
      </c>
      <c r="H218" s="1878"/>
      <c r="I218" s="1755"/>
      <c r="J218" s="1789"/>
      <c r="K218" s="1794"/>
      <c r="L218" s="1878" t="s">
        <v>459</v>
      </c>
      <c r="M218" s="2187"/>
      <c r="N218" s="350"/>
      <c r="O218" s="1640"/>
      <c r="P218" s="1640"/>
      <c r="AH218" s="1647">
        <v>0</v>
      </c>
    </row>
    <row s="1651" customFormat="1" customHeight="1" ht="18.75" hidden="1">
      <c r="A219" s="1796"/>
      <c r="B219" s="1796"/>
      <c r="C219" s="385" t="s">
        <v>1305</v>
      </c>
      <c r="D219" s="2478"/>
      <c r="E219" s="2220"/>
      <c r="F219" s="2399"/>
      <c r="G219" s="2443"/>
      <c r="H219" s="1516"/>
      <c r="I219" s="667" t="s">
        <v>1304</v>
      </c>
      <c r="J219" s="587"/>
      <c r="K219" s="1516"/>
      <c r="L219" s="230"/>
      <c r="M219" s="1877"/>
      <c r="N219" s="350"/>
      <c r="O219" s="1640"/>
      <c r="P219" s="1640"/>
      <c r="AH219" s="1647">
        <v>0</v>
      </c>
    </row>
    <row s="1651" customFormat="1" customHeight="1" ht="0.75" hidden="1">
      <c r="A220" s="1796"/>
      <c r="B220" s="1796"/>
      <c r="C220" s="385" t="s">
        <v>1312</v>
      </c>
      <c r="D220" s="2478"/>
      <c r="E220" s="2220"/>
      <c r="F220" s="2399"/>
      <c r="G220" s="416"/>
      <c r="H220" s="1516"/>
      <c r="I220" s="667"/>
      <c r="J220" s="587"/>
      <c r="K220" s="1516"/>
      <c r="L220" s="230"/>
      <c r="M220" s="357"/>
      <c r="N220" s="350"/>
      <c r="O220" s="1640"/>
      <c r="P220" s="1640"/>
      <c r="AH220" s="1647">
        <v>0</v>
      </c>
    </row>
    <row s="1651" customFormat="1" customHeight="1" ht="45" hidden="1">
      <c r="A221" s="1796" t="s">
        <v>230</v>
      </c>
      <c r="B221" s="1796" t="s">
        <v>231</v>
      </c>
      <c r="C221" s="385"/>
      <c r="D221" s="2478"/>
      <c r="E221" s="2220"/>
      <c r="F221" s="239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43" t="str">
        <f>INDEX(PT_DIFFERENTIATION_NTAR,MATCH(B221,PT_DIFFERENTIATION_NTAR_ID,0))</f>
        <v/>
      </c>
      <c r="H221" s="1878"/>
      <c r="I221" s="1755"/>
      <c r="J221" s="1789"/>
      <c r="K221" s="1794"/>
      <c r="L221" s="1878" t="s">
        <v>459</v>
      </c>
      <c r="M221" s="357"/>
      <c r="N221" s="350"/>
      <c r="O221" s="1640"/>
      <c r="P221" s="1640"/>
      <c r="AH221" s="1647">
        <v>0</v>
      </c>
    </row>
    <row s="1651" customFormat="1" customHeight="1" ht="18.75" hidden="1">
      <c r="A222" s="1796"/>
      <c r="B222" s="1796"/>
      <c r="C222" s="385" t="s">
        <v>1305</v>
      </c>
      <c r="D222" s="2478"/>
      <c r="E222" s="2220"/>
      <c r="F222" s="2399"/>
      <c r="G222" s="2443"/>
      <c r="H222" s="1516"/>
      <c r="I222" s="667" t="s">
        <v>1304</v>
      </c>
      <c r="J222" s="587"/>
      <c r="K222" s="1516"/>
      <c r="L222" s="230"/>
      <c r="M222" s="357"/>
      <c r="N222" s="350"/>
      <c r="O222" s="1640"/>
      <c r="P222" s="1640"/>
      <c r="AH222" s="1647">
        <v>0</v>
      </c>
    </row>
    <row s="1651" customFormat="1" customHeight="1" ht="0.75" hidden="1">
      <c r="A223" s="1796"/>
      <c r="B223" s="1796"/>
      <c r="C223" s="385" t="s">
        <v>1312</v>
      </c>
      <c r="D223" s="2478"/>
      <c r="E223" s="2220"/>
      <c r="F223" s="2399"/>
      <c r="G223" s="416"/>
      <c r="H223" s="1516"/>
      <c r="I223" s="667"/>
      <c r="J223" s="587"/>
      <c r="K223" s="1516"/>
      <c r="L223" s="230"/>
      <c r="M223" s="357"/>
      <c r="N223" s="350"/>
      <c r="O223" s="1640"/>
      <c r="P223" s="1640"/>
      <c r="AH223" s="1647">
        <v>0</v>
      </c>
    </row>
    <row s="1651" customFormat="1" customHeight="1" ht="45" hidden="1">
      <c r="A224" s="1796" t="s">
        <v>236</v>
      </c>
      <c r="B224" s="1796" t="s">
        <v>237</v>
      </c>
      <c r="C224" s="385"/>
      <c r="D224" s="2478"/>
      <c r="E224" s="2220"/>
      <c r="F224" s="239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43" t="str">
        <f>INDEX(PT_DIFFERENTIATION_NTAR,MATCH(B224,PT_DIFFERENTIATION_NTAR_ID,0))</f>
        <v/>
      </c>
      <c r="H224" s="1878"/>
      <c r="I224" s="1755"/>
      <c r="J224" s="1789"/>
      <c r="K224" s="1794"/>
      <c r="L224" s="1878" t="s">
        <v>459</v>
      </c>
      <c r="M224" s="357"/>
      <c r="N224" s="350"/>
      <c r="O224" s="1640"/>
      <c r="P224" s="1640"/>
      <c r="AH224" s="1647">
        <v>0</v>
      </c>
    </row>
    <row s="1651" customFormat="1" customHeight="1" ht="18.75" hidden="1">
      <c r="A225" s="1796"/>
      <c r="B225" s="1796"/>
      <c r="C225" s="385" t="s">
        <v>1305</v>
      </c>
      <c r="D225" s="2478"/>
      <c r="E225" s="2220"/>
      <c r="F225" s="2399"/>
      <c r="G225" s="2443"/>
      <c r="H225" s="1516"/>
      <c r="I225" s="667" t="s">
        <v>1304</v>
      </c>
      <c r="J225" s="587"/>
      <c r="K225" s="1516"/>
      <c r="L225" s="230"/>
      <c r="M225" s="357"/>
      <c r="N225" s="350"/>
      <c r="O225" s="1640"/>
      <c r="P225" s="1640"/>
      <c r="AH225" s="1647">
        <v>0</v>
      </c>
    </row>
    <row s="1651" customFormat="1" customHeight="1" ht="0.75" hidden="1">
      <c r="A226" s="1796"/>
      <c r="B226" s="1796"/>
      <c r="C226" s="385" t="s">
        <v>1312</v>
      </c>
      <c r="D226" s="2478"/>
      <c r="E226" s="2220"/>
      <c r="F226" s="2399"/>
      <c r="G226" s="416"/>
      <c r="H226" s="1516"/>
      <c r="I226" s="667"/>
      <c r="J226" s="587"/>
      <c r="K226" s="1516"/>
      <c r="L226" s="230"/>
      <c r="M226" s="357"/>
      <c r="N226" s="350"/>
      <c r="O226" s="1640"/>
      <c r="P226" s="1640"/>
      <c r="AH226" s="1647">
        <v>0</v>
      </c>
    </row>
    <row s="1651" customFormat="1" customHeight="1" ht="18.75" hidden="1">
      <c r="A227" s="1796" t="s">
        <v>242</v>
      </c>
      <c r="B227" s="1796" t="s">
        <v>243</v>
      </c>
      <c r="C227" s="385"/>
      <c r="D227" s="2478"/>
      <c r="E227" s="2220"/>
      <c r="F227" s="2399" t="str">
        <f>INDEX(PT_DIFFERENTIATION_VTAR,MATCH(A227,PT_DIFFERENTIATION_VTAR_ID,0))</f>
        <v>Тарифы на услуги по передаче тепловой энергии</v>
      </c>
      <c r="G227" s="2443" t="str">
        <f>INDEX(PT_DIFFERENTIATION_NTAR,MATCH(B227,PT_DIFFERENTIATION_NTAR_ID,0))</f>
        <v/>
      </c>
      <c r="H227" s="1878"/>
      <c r="I227" s="1755"/>
      <c r="J227" s="1789"/>
      <c r="K227" s="1794"/>
      <c r="L227" s="1878" t="s">
        <v>459</v>
      </c>
      <c r="M227" s="357"/>
      <c r="N227" s="350"/>
      <c r="O227" s="1640"/>
      <c r="P227" s="1640"/>
      <c r="AH227" s="1647">
        <v>0</v>
      </c>
    </row>
    <row s="1651" customFormat="1" customHeight="1" ht="18.75" hidden="1">
      <c r="A228" s="1796"/>
      <c r="B228" s="1796"/>
      <c r="C228" s="385" t="s">
        <v>1305</v>
      </c>
      <c r="D228" s="2478"/>
      <c r="E228" s="2220"/>
      <c r="F228" s="2399"/>
      <c r="G228" s="2443"/>
      <c r="H228" s="1516"/>
      <c r="I228" s="667" t="s">
        <v>1304</v>
      </c>
      <c r="J228" s="587"/>
      <c r="K228" s="1516"/>
      <c r="L228" s="230"/>
      <c r="M228" s="357"/>
      <c r="N228" s="350"/>
      <c r="O228" s="1640"/>
      <c r="P228" s="1640"/>
      <c r="AH228" s="1647">
        <v>0</v>
      </c>
    </row>
    <row s="1651" customFormat="1" customHeight="1" ht="0.75" hidden="1">
      <c r="A229" s="1796"/>
      <c r="B229" s="1796"/>
      <c r="C229" s="385" t="s">
        <v>1312</v>
      </c>
      <c r="D229" s="2478"/>
      <c r="E229" s="2220"/>
      <c r="F229" s="2399"/>
      <c r="G229" s="416"/>
      <c r="H229" s="1516"/>
      <c r="I229" s="667"/>
      <c r="J229" s="587"/>
      <c r="K229" s="1516"/>
      <c r="L229" s="230"/>
      <c r="M229" s="357"/>
      <c r="N229" s="350"/>
      <c r="O229" s="1640"/>
      <c r="P229" s="1640"/>
      <c r="AH229" s="1647">
        <v>0</v>
      </c>
    </row>
    <row s="1651" customFormat="1" customHeight="1" ht="18.75" hidden="1">
      <c r="A230" s="1796" t="s">
        <v>248</v>
      </c>
      <c r="B230" s="1796" t="s">
        <v>249</v>
      </c>
      <c r="C230" s="385"/>
      <c r="D230" s="2478"/>
      <c r="E230" s="2220"/>
      <c r="F230" s="2399" t="str">
        <f>INDEX(PT_DIFFERENTIATION_VTAR,MATCH(A230,PT_DIFFERENTIATION_VTAR_ID,0))</f>
        <v>Тарифы на услуги по передаче теплоносителя</v>
      </c>
      <c r="G230" s="2443" t="str">
        <f>INDEX(PT_DIFFERENTIATION_NTAR,MATCH(B230,PT_DIFFERENTIATION_NTAR_ID,0))</f>
        <v/>
      </c>
      <c r="H230" s="1878"/>
      <c r="I230" s="1755"/>
      <c r="J230" s="1789"/>
      <c r="K230" s="1794"/>
      <c r="L230" s="1878" t="s">
        <v>459</v>
      </c>
      <c r="M230" s="357"/>
      <c r="N230" s="350"/>
      <c r="O230" s="1640"/>
      <c r="P230" s="1640"/>
      <c r="AH230" s="1647">
        <v>0</v>
      </c>
    </row>
    <row s="1651" customFormat="1" customHeight="1" ht="18.75" hidden="1">
      <c r="A231" s="1796"/>
      <c r="B231" s="1796"/>
      <c r="C231" s="385" t="s">
        <v>1305</v>
      </c>
      <c r="D231" s="2478"/>
      <c r="E231" s="2220"/>
      <c r="F231" s="2399"/>
      <c r="G231" s="2443"/>
      <c r="H231" s="1516"/>
      <c r="I231" s="667" t="s">
        <v>1304</v>
      </c>
      <c r="J231" s="587"/>
      <c r="K231" s="1516"/>
      <c r="L231" s="230"/>
      <c r="M231" s="357"/>
      <c r="N231" s="350"/>
      <c r="O231" s="1640"/>
      <c r="P231" s="1640"/>
      <c r="AH231" s="1647">
        <v>0</v>
      </c>
    </row>
    <row s="1651" customFormat="1" customHeight="1" ht="0.75" hidden="1">
      <c r="A232" s="1796"/>
      <c r="B232" s="1796"/>
      <c r="C232" s="385" t="s">
        <v>1312</v>
      </c>
      <c r="D232" s="2478"/>
      <c r="E232" s="2220"/>
      <c r="F232" s="2399"/>
      <c r="G232" s="416"/>
      <c r="H232" s="1516"/>
      <c r="I232" s="667"/>
      <c r="J232" s="587"/>
      <c r="K232" s="1516"/>
      <c r="L232" s="230"/>
      <c r="M232" s="357"/>
      <c r="N232" s="350"/>
      <c r="O232" s="1640"/>
      <c r="P232" s="1640"/>
      <c r="AH232" s="1647">
        <v>0</v>
      </c>
    </row>
    <row s="1651" customFormat="1" customHeight="1" ht="18.75" hidden="1">
      <c r="A233" s="1796" t="s">
        <v>254</v>
      </c>
      <c r="B233" s="1796" t="s">
        <v>255</v>
      </c>
      <c r="C233" s="385"/>
      <c r="D233" s="2478"/>
      <c r="E233" s="2220"/>
      <c r="F233" s="239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43" t="str">
        <f>INDEX(PT_DIFFERENTIATION_NTAR,MATCH(B233,PT_DIFFERENTIATION_NTAR_ID,0))</f>
        <v/>
      </c>
      <c r="H233" s="1878"/>
      <c r="I233" s="1755"/>
      <c r="J233" s="1789"/>
      <c r="K233" s="1794"/>
      <c r="L233" s="1878" t="s">
        <v>459</v>
      </c>
      <c r="M233" s="357"/>
      <c r="N233" s="350"/>
      <c r="O233" s="1640"/>
      <c r="P233" s="1640"/>
      <c r="AH233" s="1647">
        <v>0</v>
      </c>
    </row>
    <row s="1651" customFormat="1" customHeight="1" ht="18.75" hidden="1">
      <c r="A234" s="1796"/>
      <c r="B234" s="1796"/>
      <c r="C234" s="385" t="s">
        <v>1305</v>
      </c>
      <c r="D234" s="2478"/>
      <c r="E234" s="2220"/>
      <c r="F234" s="2399"/>
      <c r="G234" s="2443"/>
      <c r="H234" s="1516"/>
      <c r="I234" s="667" t="s">
        <v>1304</v>
      </c>
      <c r="J234" s="587"/>
      <c r="K234" s="1516"/>
      <c r="L234" s="230"/>
      <c r="M234" s="357"/>
      <c r="N234" s="350"/>
      <c r="O234" s="1640"/>
      <c r="P234" s="1640"/>
      <c r="AH234" s="1647">
        <v>0</v>
      </c>
    </row>
    <row s="1651" customFormat="1" customHeight="1" ht="0.75" hidden="1">
      <c r="A235" s="1796"/>
      <c r="B235" s="1796"/>
      <c r="C235" s="385" t="s">
        <v>1312</v>
      </c>
      <c r="D235" s="2478"/>
      <c r="E235" s="2220"/>
      <c r="F235" s="2399"/>
      <c r="G235" s="416"/>
      <c r="H235" s="1516"/>
      <c r="I235" s="667"/>
      <c r="J235" s="587"/>
      <c r="K235" s="1516"/>
      <c r="L235" s="230"/>
      <c r="M235" s="357"/>
      <c r="N235" s="350"/>
      <c r="O235" s="1640"/>
      <c r="P235" s="1640"/>
      <c r="AH235" s="1647">
        <v>0</v>
      </c>
    </row>
    <row s="1651" customFormat="1" customHeight="1" ht="18.75" hidden="1">
      <c r="A236" s="1796" t="s">
        <v>263</v>
      </c>
      <c r="B236" s="1796" t="s">
        <v>264</v>
      </c>
      <c r="C236" s="385"/>
      <c r="D236" s="2478"/>
      <c r="E236" s="2220"/>
      <c r="F236" s="2399" t="str">
        <f>INDEX(PT_DIFFERENTIATION_VTAR,MATCH(A236,PT_DIFFERENTIATION_VTAR_ID,0))</f>
        <v>Плата за подключение (технологическое присоединение) к системе теплоснабжения</v>
      </c>
      <c r="G236" s="2443" t="str">
        <f>INDEX(PT_DIFFERENTIATION_NTAR,MATCH(B236,PT_DIFFERENTIATION_NTAR_ID,0))</f>
        <v>Расходы на проведение мероприятий по подключению объектов заявителей</v>
      </c>
      <c r="H236" s="1878"/>
      <c r="I236" s="1755"/>
      <c r="J236" s="1789"/>
      <c r="K236" s="1794"/>
      <c r="L236" s="1878" t="s">
        <v>459</v>
      </c>
      <c r="M236" s="357"/>
      <c r="N236" s="350"/>
      <c r="O236" s="1640"/>
      <c r="P236" s="1640"/>
      <c r="AH236" s="1647">
        <v>0</v>
      </c>
    </row>
    <row s="1651" customFormat="1" customHeight="1" ht="18.75" hidden="1">
      <c r="A237" s="1796"/>
      <c r="B237" s="1796"/>
      <c r="C237" s="385" t="s">
        <v>1305</v>
      </c>
      <c r="D237" s="2478"/>
      <c r="E237" s="2220"/>
      <c r="F237" s="2399"/>
      <c r="G237" s="2443"/>
      <c r="H237" s="1516"/>
      <c r="I237" s="667" t="s">
        <v>1304</v>
      </c>
      <c r="J237" s="587"/>
      <c r="K237" s="1516"/>
      <c r="L237" s="230"/>
      <c r="M237" s="357"/>
      <c r="N237" s="350"/>
      <c r="O237" s="1640"/>
      <c r="P237" s="1640"/>
      <c r="AH237" s="1647">
        <v>0</v>
      </c>
    </row>
    <row s="1651" customFormat="1" customHeight="1" ht="18.75">
      <c r="A238" s="1839" t="s">
        <v>263</v>
      </c>
      <c r="B238" s="1839" t="s">
        <v>332</v>
      </c>
      <c r="C238" s="1703"/>
      <c r="D238" s="360"/>
      <c r="E238" s="1047"/>
      <c r="F238" s="1047"/>
      <c r="G238" s="2443" t="str">
        <f>INDEX(PT_DIFFERENTIATION_NTAR,MATCH(B238,PT_DIFFERENTIATION_NTAR_ID,0))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238" s="2287"/>
      <c r="I238" s="1755"/>
      <c r="J238" s="1789"/>
      <c r="K238" s="1794"/>
      <c r="L238" s="2287" t="s">
        <v>459</v>
      </c>
      <c r="M238" s="2334"/>
      <c r="N238" s="634"/>
      <c r="O238" s="1640"/>
      <c r="P238" s="1640"/>
      <c r="Q238" s="1651"/>
      <c r="R238" s="1651"/>
      <c r="S238" s="1651"/>
      <c r="T238" s="1651"/>
      <c r="U238" s="1651"/>
      <c r="V238" s="1651"/>
      <c r="W238" s="1651"/>
      <c r="X238" s="1651"/>
      <c r="Y238" s="1651"/>
      <c r="Z238" s="1651"/>
      <c r="AA238" s="1651"/>
      <c r="AB238" s="1651"/>
      <c r="AC238" s="1651"/>
      <c r="AD238" s="1651"/>
      <c r="AE238" s="1651"/>
      <c r="AF238" s="1651"/>
      <c r="AG238" s="1651"/>
      <c r="AH238" s="1651">
        <v>0</v>
      </c>
    </row>
    <row s="1651" customFormat="1" customHeight="1" ht="18.75">
      <c r="A239" s="1839"/>
      <c r="B239" s="1839"/>
      <c r="C239" s="1703" t="s">
        <v>1305</v>
      </c>
      <c r="D239" s="360"/>
      <c r="E239" s="1047"/>
      <c r="F239" s="1047"/>
      <c r="G239" s="2443"/>
      <c r="H239" s="2854"/>
      <c r="I239" s="2855" t="s">
        <v>1304</v>
      </c>
      <c r="J239" s="2856"/>
      <c r="K239" s="2857"/>
      <c r="L239" s="2858"/>
      <c r="M239" s="2334"/>
      <c r="N239" s="634"/>
      <c r="O239" s="1640"/>
      <c r="P239" s="1640"/>
      <c r="Q239" s="1651"/>
      <c r="R239" s="1651"/>
      <c r="S239" s="1651"/>
      <c r="T239" s="1651"/>
      <c r="U239" s="1651"/>
      <c r="V239" s="1651"/>
      <c r="W239" s="1651"/>
      <c r="X239" s="1651"/>
      <c r="Y239" s="1651"/>
      <c r="Z239" s="1651"/>
      <c r="AA239" s="1651"/>
      <c r="AB239" s="1651"/>
      <c r="AC239" s="1651"/>
      <c r="AD239" s="1651"/>
      <c r="AE239" s="1651"/>
      <c r="AF239" s="1651"/>
      <c r="AG239" s="1651"/>
      <c r="AH239" s="1651">
        <v>0</v>
      </c>
    </row>
    <row s="1651" customFormat="1" customHeight="1" ht="0.75" hidden="1">
      <c r="A240" s="1796"/>
      <c r="B240" s="1796"/>
      <c r="C240" s="385" t="s">
        <v>1312</v>
      </c>
      <c r="D240" s="2478"/>
      <c r="E240" s="2220"/>
      <c r="F240" s="2399"/>
      <c r="G240" s="416"/>
      <c r="H240" s="1516"/>
      <c r="I240" s="667"/>
      <c r="J240" s="587"/>
      <c r="K240" s="1516"/>
      <c r="L240" s="230"/>
      <c r="M240" s="357"/>
      <c r="N240" s="350"/>
      <c r="O240" s="1640"/>
      <c r="P240" s="1640"/>
      <c r="AH240" s="1647">
        <v>0</v>
      </c>
    </row>
    <row s="1651" customFormat="1" customHeight="1" ht="18.75" hidden="1">
      <c r="A241" s="1796" t="s">
        <v>358</v>
      </c>
      <c r="B241" s="1796" t="s">
        <v>359</v>
      </c>
      <c r="C241" s="385"/>
      <c r="D241" s="2478"/>
      <c r="E241" s="2220"/>
      <c r="F241" s="2399" t="str">
        <f>INDEX(PT_DIFFERENTIATION_VTAR,MATCH(A241,PT_DIFFERENTIATION_VTAR_ID,0))</f>
        <v>Плата за подключение (технологическое присоединение) к системе теплоснабжения (индивидуальная)</v>
      </c>
      <c r="G241" s="2443" t="str">
        <f>INDEX(PT_DIFFERENTIATION_NTAR,MATCH(B241,PT_DIFFERENTIATION_NTAR_ID,0))</f>
        <v/>
      </c>
      <c r="H241" s="2005"/>
      <c r="I241" s="1755"/>
      <c r="J241" s="1789"/>
      <c r="K241" s="1794"/>
      <c r="L241" s="2005" t="s">
        <v>459</v>
      </c>
      <c r="M241" s="357"/>
      <c r="N241" s="350"/>
      <c r="O241" s="1640"/>
      <c r="P241" s="1640"/>
      <c r="AH241" s="1647">
        <v>0</v>
      </c>
    </row>
    <row s="1651" customFormat="1" customHeight="1" ht="18.75" hidden="1">
      <c r="A242" s="1796"/>
      <c r="B242" s="1796"/>
      <c r="C242" s="385" t="s">
        <v>1305</v>
      </c>
      <c r="D242" s="2478"/>
      <c r="E242" s="2220"/>
      <c r="F242" s="2399"/>
      <c r="G242" s="2443"/>
      <c r="H242" s="1516"/>
      <c r="I242" s="667" t="s">
        <v>1304</v>
      </c>
      <c r="J242" s="587"/>
      <c r="K242" s="1516"/>
      <c r="L242" s="230"/>
      <c r="M242" s="357"/>
      <c r="N242" s="350"/>
      <c r="O242" s="1640"/>
      <c r="P242" s="1640"/>
      <c r="AH242" s="1647">
        <v>0</v>
      </c>
    </row>
    <row s="1651" customFormat="1" customHeight="1" ht="0.75" hidden="1">
      <c r="A243" s="1796"/>
      <c r="B243" s="1796"/>
      <c r="C243" s="385" t="s">
        <v>1312</v>
      </c>
      <c r="D243" s="2478"/>
      <c r="E243" s="2220"/>
      <c r="F243" s="2399"/>
      <c r="G243" s="416"/>
      <c r="H243" s="1516"/>
      <c r="I243" s="667"/>
      <c r="J243" s="587"/>
      <c r="K243" s="1516"/>
      <c r="L243" s="230"/>
      <c r="M243" s="357"/>
      <c r="N243" s="350"/>
      <c r="O243" s="1640"/>
      <c r="P243" s="1640"/>
      <c r="AH243" s="1647">
        <v>0</v>
      </c>
    </row>
    <row s="1651" customFormat="1" customHeight="1" ht="18.75" hidden="1">
      <c r="A244" s="1796" t="s">
        <v>378</v>
      </c>
      <c r="B244" s="1796" t="s">
        <v>379</v>
      </c>
      <c r="C244" s="385"/>
      <c r="D244" s="2478"/>
      <c r="E244" s="2220"/>
      <c r="F244" s="2399" t="str">
        <f>INDEX(PT_DIFFERENTIATION_VTAR,MATCH(A244,PT_DIFFERENTIATION_VTAR_ID,0))</f>
        <v>Тариф на питьевую воду (питьевое водоснабжение)</v>
      </c>
      <c r="G244" s="2443" t="str">
        <f>INDEX(PT_DIFFERENTIATION_NTAR,MATCH(B244,PT_DIFFERENTIATION_NTAR_ID,0))</f>
        <v/>
      </c>
      <c r="H244" s="1878"/>
      <c r="I244" s="1755"/>
      <c r="J244" s="1789"/>
      <c r="K244" s="1794"/>
      <c r="L244" s="1878" t="s">
        <v>459</v>
      </c>
      <c r="M244" s="357"/>
      <c r="N244" s="350"/>
      <c r="O244" s="1640"/>
      <c r="P244" s="1640"/>
      <c r="AH244" s="1647">
        <v>0</v>
      </c>
    </row>
    <row s="1651" customFormat="1" customHeight="1" ht="18.75" hidden="1">
      <c r="A245" s="1796"/>
      <c r="B245" s="1796"/>
      <c r="C245" s="385" t="s">
        <v>1305</v>
      </c>
      <c r="D245" s="2478"/>
      <c r="E245" s="2220"/>
      <c r="F245" s="2399"/>
      <c r="G245" s="2443"/>
      <c r="H245" s="1516"/>
      <c r="I245" s="667" t="s">
        <v>1304</v>
      </c>
      <c r="J245" s="587"/>
      <c r="K245" s="1516"/>
      <c r="L245" s="230"/>
      <c r="M245" s="357"/>
      <c r="N245" s="350"/>
      <c r="O245" s="1640"/>
      <c r="P245" s="1640"/>
      <c r="AH245" s="1647">
        <v>0</v>
      </c>
    </row>
    <row s="1651" customFormat="1" customHeight="1" ht="0.75" hidden="1">
      <c r="A246" s="1796"/>
      <c r="B246" s="1796"/>
      <c r="C246" s="385" t="s">
        <v>1312</v>
      </c>
      <c r="D246" s="2478"/>
      <c r="E246" s="2220"/>
      <c r="F246" s="2399"/>
      <c r="G246" s="416"/>
      <c r="H246" s="1516"/>
      <c r="I246" s="667"/>
      <c r="J246" s="587"/>
      <c r="K246" s="1516"/>
      <c r="L246" s="230"/>
      <c r="M246" s="357"/>
      <c r="N246" s="350"/>
      <c r="O246" s="1640"/>
      <c r="P246" s="1640"/>
      <c r="AH246" s="1647">
        <v>0</v>
      </c>
    </row>
    <row s="1651" customFormat="1" customHeight="1" ht="18.75" hidden="1">
      <c r="A247" s="1796" t="s">
        <v>383</v>
      </c>
      <c r="B247" s="1796" t="s">
        <v>384</v>
      </c>
      <c r="C247" s="385"/>
      <c r="D247" s="2478"/>
      <c r="E247" s="2220"/>
      <c r="F247" s="2399" t="str">
        <f>INDEX(PT_DIFFERENTIATION_VTAR,MATCH(A247,PT_DIFFERENTIATION_VTAR_ID,0))</f>
        <v>Тариф на техническую воду</v>
      </c>
      <c r="G247" s="2443" t="str">
        <f>INDEX(PT_DIFFERENTIATION_NTAR,MATCH(B247,PT_DIFFERENTIATION_NTAR_ID,0))</f>
        <v/>
      </c>
      <c r="H247" s="1878"/>
      <c r="I247" s="1755"/>
      <c r="J247" s="1789"/>
      <c r="K247" s="1794"/>
      <c r="L247" s="1878" t="s">
        <v>459</v>
      </c>
      <c r="M247" s="357"/>
      <c r="N247" s="350"/>
      <c r="O247" s="1640"/>
      <c r="P247" s="1640"/>
      <c r="AH247" s="1647">
        <v>0</v>
      </c>
    </row>
    <row s="1651" customFormat="1" customHeight="1" ht="18.75" hidden="1">
      <c r="A248" s="1796"/>
      <c r="B248" s="1796"/>
      <c r="C248" s="385" t="s">
        <v>1305</v>
      </c>
      <c r="D248" s="2478"/>
      <c r="E248" s="2220"/>
      <c r="F248" s="2399"/>
      <c r="G248" s="2443"/>
      <c r="H248" s="1516"/>
      <c r="I248" s="667" t="s">
        <v>1304</v>
      </c>
      <c r="J248" s="587"/>
      <c r="K248" s="1516"/>
      <c r="L248" s="230"/>
      <c r="M248" s="357"/>
      <c r="N248" s="350"/>
      <c r="O248" s="1640"/>
      <c r="P248" s="1640"/>
      <c r="AH248" s="1647">
        <v>0</v>
      </c>
    </row>
    <row s="1651" customFormat="1" customHeight="1" ht="0.75" hidden="1">
      <c r="A249" s="1796"/>
      <c r="B249" s="1796"/>
      <c r="C249" s="385" t="s">
        <v>1312</v>
      </c>
      <c r="D249" s="2478"/>
      <c r="E249" s="2220"/>
      <c r="F249" s="2399"/>
      <c r="G249" s="416"/>
      <c r="H249" s="1516"/>
      <c r="I249" s="667"/>
      <c r="J249" s="587"/>
      <c r="K249" s="1516"/>
      <c r="L249" s="230"/>
      <c r="M249" s="357"/>
      <c r="N249" s="350"/>
      <c r="O249" s="1640"/>
      <c r="P249" s="1640"/>
      <c r="AH249" s="1647">
        <v>0</v>
      </c>
    </row>
    <row s="1651" customFormat="1" customHeight="1" ht="18.75" hidden="1">
      <c r="A250" s="1796" t="s">
        <v>388</v>
      </c>
      <c r="B250" s="1796" t="s">
        <v>389</v>
      </c>
      <c r="C250" s="385"/>
      <c r="D250" s="2478"/>
      <c r="E250" s="2220"/>
      <c r="F250" s="2399" t="str">
        <f>INDEX(PT_DIFFERENTIATION_VTAR,MATCH(A250,PT_DIFFERENTIATION_VTAR_ID,0))</f>
        <v>Тариф на транспортировку воды</v>
      </c>
      <c r="G250" s="2443" t="str">
        <f>INDEX(PT_DIFFERENTIATION_NTAR,MATCH(B250,PT_DIFFERENTIATION_NTAR_ID,0))</f>
        <v/>
      </c>
      <c r="H250" s="1878"/>
      <c r="I250" s="1755"/>
      <c r="J250" s="1789"/>
      <c r="K250" s="1794"/>
      <c r="L250" s="1878" t="s">
        <v>459</v>
      </c>
      <c r="M250" s="357"/>
      <c r="N250" s="350"/>
      <c r="O250" s="1640"/>
      <c r="P250" s="1640"/>
      <c r="AH250" s="1647">
        <v>0</v>
      </c>
    </row>
    <row s="1651" customFormat="1" customHeight="1" ht="18.75" hidden="1">
      <c r="A251" s="1796"/>
      <c r="B251" s="1796"/>
      <c r="C251" s="385" t="s">
        <v>1305</v>
      </c>
      <c r="D251" s="2478"/>
      <c r="E251" s="2220"/>
      <c r="F251" s="2399"/>
      <c r="G251" s="2443"/>
      <c r="H251" s="1516"/>
      <c r="I251" s="667" t="s">
        <v>1304</v>
      </c>
      <c r="J251" s="587"/>
      <c r="K251" s="1516"/>
      <c r="L251" s="230"/>
      <c r="M251" s="357"/>
      <c r="N251" s="350"/>
      <c r="O251" s="1640"/>
      <c r="P251" s="1640"/>
      <c r="AH251" s="1647">
        <v>0</v>
      </c>
    </row>
    <row s="1651" customFormat="1" customHeight="1" ht="0.75" hidden="1">
      <c r="A252" s="1796"/>
      <c r="B252" s="1796"/>
      <c r="C252" s="385" t="s">
        <v>1312</v>
      </c>
      <c r="D252" s="2478"/>
      <c r="E252" s="2220"/>
      <c r="F252" s="2399"/>
      <c r="G252" s="416"/>
      <c r="H252" s="1516"/>
      <c r="I252" s="667"/>
      <c r="J252" s="587"/>
      <c r="K252" s="1516"/>
      <c r="L252" s="230"/>
      <c r="M252" s="357"/>
      <c r="N252" s="350"/>
      <c r="O252" s="1640"/>
      <c r="P252" s="1640"/>
      <c r="AH252" s="1647">
        <v>0</v>
      </c>
    </row>
    <row s="1651" customFormat="1" customHeight="1" ht="18.75" hidden="1">
      <c r="A253" s="1796" t="s">
        <v>393</v>
      </c>
      <c r="B253" s="1796" t="s">
        <v>394</v>
      </c>
      <c r="C253" s="385"/>
      <c r="D253" s="2478"/>
      <c r="E253" s="2220"/>
      <c r="F253" s="2399" t="str">
        <f>INDEX(PT_DIFFERENTIATION_VTAR,MATCH(A253,PT_DIFFERENTIATION_VTAR_ID,0))</f>
        <v>Тариф на подвоз воды</v>
      </c>
      <c r="G253" s="2443" t="str">
        <f>INDEX(PT_DIFFERENTIATION_NTAR,MATCH(B253,PT_DIFFERENTIATION_NTAR_ID,0))</f>
        <v/>
      </c>
      <c r="H253" s="1878"/>
      <c r="I253" s="1755"/>
      <c r="J253" s="1789"/>
      <c r="K253" s="1794"/>
      <c r="L253" s="1878" t="s">
        <v>459</v>
      </c>
      <c r="M253" s="357"/>
      <c r="N253" s="350"/>
      <c r="O253" s="1640"/>
      <c r="P253" s="1640"/>
      <c r="AH253" s="1647">
        <v>0</v>
      </c>
    </row>
    <row s="1651" customFormat="1" customHeight="1" ht="18.75" hidden="1">
      <c r="A254" s="1796"/>
      <c r="B254" s="1796"/>
      <c r="C254" s="385" t="s">
        <v>1305</v>
      </c>
      <c r="D254" s="2478"/>
      <c r="E254" s="2220"/>
      <c r="F254" s="2399"/>
      <c r="G254" s="2443"/>
      <c r="H254" s="1516"/>
      <c r="I254" s="667" t="s">
        <v>1304</v>
      </c>
      <c r="J254" s="587"/>
      <c r="K254" s="1516"/>
      <c r="L254" s="230"/>
      <c r="M254" s="357"/>
      <c r="N254" s="350"/>
      <c r="O254" s="1640"/>
      <c r="P254" s="1640"/>
      <c r="AH254" s="1647">
        <v>0</v>
      </c>
    </row>
    <row s="1651" customFormat="1" customHeight="1" ht="0.75" hidden="1">
      <c r="A255" s="1796"/>
      <c r="B255" s="1796"/>
      <c r="C255" s="385" t="s">
        <v>1312</v>
      </c>
      <c r="D255" s="2478"/>
      <c r="E255" s="2220"/>
      <c r="F255" s="2399"/>
      <c r="G255" s="416"/>
      <c r="H255" s="1516"/>
      <c r="I255" s="667"/>
      <c r="J255" s="587"/>
      <c r="K255" s="1516"/>
      <c r="L255" s="230"/>
      <c r="M255" s="357"/>
      <c r="N255" s="350"/>
      <c r="O255" s="1640"/>
      <c r="P255" s="1640"/>
      <c r="AH255" s="1647">
        <v>0</v>
      </c>
    </row>
    <row s="1651" customFormat="1" customHeight="1" ht="18.75" hidden="1">
      <c r="A256" s="1796" t="s">
        <v>398</v>
      </c>
      <c r="B256" s="1796" t="s">
        <v>399</v>
      </c>
      <c r="C256" s="385"/>
      <c r="D256" s="2478"/>
      <c r="E256" s="2220"/>
      <c r="F256" s="239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43" t="str">
        <f>INDEX(PT_DIFFERENTIATION_NTAR,MATCH(B256,PT_DIFFERENTIATION_NTAR_ID,0))</f>
        <v/>
      </c>
      <c r="H256" s="1878"/>
      <c r="I256" s="1755"/>
      <c r="J256" s="1789"/>
      <c r="K256" s="1794"/>
      <c r="L256" s="1878" t="s">
        <v>459</v>
      </c>
      <c r="M256" s="357"/>
      <c r="N256" s="350"/>
      <c r="O256" s="1640"/>
      <c r="P256" s="1640"/>
      <c r="AH256" s="1647">
        <v>0</v>
      </c>
    </row>
    <row s="1651" customFormat="1" customHeight="1" ht="18.75" hidden="1">
      <c r="A257" s="1796"/>
      <c r="B257" s="1796"/>
      <c r="C257" s="385" t="s">
        <v>1305</v>
      </c>
      <c r="D257" s="2478"/>
      <c r="E257" s="2220"/>
      <c r="F257" s="2399"/>
      <c r="G257" s="2443"/>
      <c r="H257" s="1516"/>
      <c r="I257" s="667" t="s">
        <v>1304</v>
      </c>
      <c r="J257" s="587"/>
      <c r="K257" s="1516"/>
      <c r="L257" s="230"/>
      <c r="M257" s="357"/>
      <c r="N257" s="350"/>
      <c r="O257" s="1640"/>
      <c r="P257" s="1640"/>
      <c r="AH257" s="1647">
        <v>0</v>
      </c>
    </row>
    <row s="1651" customFormat="1" customHeight="1" ht="0.75" hidden="1">
      <c r="A258" s="1796"/>
      <c r="B258" s="1796"/>
      <c r="C258" s="385" t="s">
        <v>1312</v>
      </c>
      <c r="D258" s="2478"/>
      <c r="E258" s="2220"/>
      <c r="F258" s="2399"/>
      <c r="G258" s="416"/>
      <c r="H258" s="1516"/>
      <c r="I258" s="667"/>
      <c r="J258" s="587"/>
      <c r="K258" s="1516"/>
      <c r="L258" s="230"/>
      <c r="M258" s="357"/>
      <c r="N258" s="350"/>
      <c r="O258" s="1640"/>
      <c r="P258" s="1640"/>
      <c r="AH258" s="1647">
        <v>0</v>
      </c>
    </row>
    <row s="1651" customFormat="1" customHeight="1" ht="18.75" hidden="1">
      <c r="A259" s="1796" t="s">
        <v>403</v>
      </c>
      <c r="B259" s="1796" t="s">
        <v>404</v>
      </c>
      <c r="C259" s="385"/>
      <c r="D259" s="2478"/>
      <c r="E259" s="2220"/>
      <c r="F259" s="2399" t="str">
        <f>INDEX(PT_DIFFERENTIATION_VTAR,MATCH(A259,PT_DIFFERENTIATION_VTAR_ID,0))</f>
        <v>Тариф на горячую воду (горячее водоснабжение)</v>
      </c>
      <c r="G259" s="2443" t="str">
        <f>INDEX(PT_DIFFERENTIATION_NTAR,MATCH(B259,PT_DIFFERENTIATION_NTAR_ID,0))</f>
        <v/>
      </c>
      <c r="H259" s="1878"/>
      <c r="I259" s="1755"/>
      <c r="J259" s="1789"/>
      <c r="K259" s="1794"/>
      <c r="L259" s="1878" t="s">
        <v>459</v>
      </c>
      <c r="M259" s="357"/>
      <c r="N259" s="350"/>
      <c r="O259" s="1640"/>
      <c r="P259" s="1640"/>
      <c r="AH259" s="1647">
        <v>0</v>
      </c>
    </row>
    <row s="1651" customFormat="1" customHeight="1" ht="18.75" hidden="1">
      <c r="A260" s="1796"/>
      <c r="B260" s="1796"/>
      <c r="C260" s="385" t="s">
        <v>1305</v>
      </c>
      <c r="D260" s="2478"/>
      <c r="E260" s="2220"/>
      <c r="F260" s="2399"/>
      <c r="G260" s="2443"/>
      <c r="H260" s="1516"/>
      <c r="I260" s="667" t="s">
        <v>1304</v>
      </c>
      <c r="J260" s="587"/>
      <c r="K260" s="1516"/>
      <c r="L260" s="230"/>
      <c r="M260" s="357"/>
      <c r="N260" s="350"/>
      <c r="O260" s="1640"/>
      <c r="P260" s="1640"/>
      <c r="AH260" s="1647">
        <v>0</v>
      </c>
    </row>
    <row s="1651" customFormat="1" customHeight="1" ht="0.75" hidden="1">
      <c r="A261" s="1796"/>
      <c r="B261" s="1796"/>
      <c r="C261" s="385" t="s">
        <v>1312</v>
      </c>
      <c r="D261" s="2478"/>
      <c r="E261" s="2220"/>
      <c r="F261" s="2399"/>
      <c r="G261" s="416"/>
      <c r="H261" s="1516"/>
      <c r="I261" s="667"/>
      <c r="J261" s="587"/>
      <c r="K261" s="1516"/>
      <c r="L261" s="230"/>
      <c r="M261" s="357"/>
      <c r="N261" s="350"/>
      <c r="O261" s="1640"/>
      <c r="P261" s="1640"/>
      <c r="AH261" s="1647">
        <v>0</v>
      </c>
    </row>
    <row s="1651" customFormat="1" customHeight="1" ht="18.75" hidden="1">
      <c r="A262" s="1796" t="s">
        <v>408</v>
      </c>
      <c r="B262" s="1796" t="s">
        <v>409</v>
      </c>
      <c r="C262" s="385"/>
      <c r="D262" s="2478"/>
      <c r="E262" s="2220"/>
      <c r="F262" s="2399" t="str">
        <f>INDEX(PT_DIFFERENTIATION_VTAR,MATCH(A262,PT_DIFFERENTIATION_VTAR_ID,0))</f>
        <v>Тариф на транспортировку горячей воды</v>
      </c>
      <c r="G262" s="2443" t="str">
        <f>INDEX(PT_DIFFERENTIATION_NTAR,MATCH(B262,PT_DIFFERENTIATION_NTAR_ID,0))</f>
        <v/>
      </c>
      <c r="H262" s="1878"/>
      <c r="I262" s="1755"/>
      <c r="J262" s="1789"/>
      <c r="K262" s="1794"/>
      <c r="L262" s="1878" t="s">
        <v>459</v>
      </c>
      <c r="M262" s="357"/>
      <c r="N262" s="350"/>
      <c r="O262" s="1640"/>
      <c r="P262" s="1640"/>
      <c r="AH262" s="1647">
        <v>0</v>
      </c>
    </row>
    <row s="1651" customFormat="1" customHeight="1" ht="18.75" hidden="1">
      <c r="A263" s="1796"/>
      <c r="B263" s="1796"/>
      <c r="C263" s="385" t="s">
        <v>1305</v>
      </c>
      <c r="D263" s="2478"/>
      <c r="E263" s="2220"/>
      <c r="F263" s="2399"/>
      <c r="G263" s="2443"/>
      <c r="H263" s="1516"/>
      <c r="I263" s="667" t="s">
        <v>1304</v>
      </c>
      <c r="J263" s="587"/>
      <c r="K263" s="1516"/>
      <c r="L263" s="230"/>
      <c r="M263" s="357"/>
      <c r="N263" s="350"/>
      <c r="O263" s="1640"/>
      <c r="P263" s="1640"/>
      <c r="AH263" s="1647">
        <v>0</v>
      </c>
    </row>
    <row s="1651" customFormat="1" customHeight="1" ht="0.75" hidden="1">
      <c r="A264" s="1796"/>
      <c r="B264" s="1796"/>
      <c r="C264" s="385" t="s">
        <v>1312</v>
      </c>
      <c r="D264" s="2478"/>
      <c r="E264" s="2220"/>
      <c r="F264" s="2399"/>
      <c r="G264" s="416"/>
      <c r="H264" s="1516"/>
      <c r="I264" s="667"/>
      <c r="J264" s="587"/>
      <c r="K264" s="1516"/>
      <c r="L264" s="230"/>
      <c r="M264" s="357"/>
      <c r="N264" s="350"/>
      <c r="O264" s="1640"/>
      <c r="P264" s="1640"/>
      <c r="AH264" s="1647">
        <v>0</v>
      </c>
    </row>
    <row s="1651" customFormat="1" customHeight="1" ht="18.75" hidden="1">
      <c r="A265" s="1796" t="s">
        <v>413</v>
      </c>
      <c r="B265" s="1796" t="s">
        <v>414</v>
      </c>
      <c r="C265" s="385"/>
      <c r="D265" s="2478"/>
      <c r="E265" s="2220"/>
      <c r="F265" s="2399"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43" t="str">
        <f>INDEX(PT_DIFFERENTIATION_NTAR,MATCH(B265,PT_DIFFERENTIATION_NTAR_ID,0))</f>
        <v/>
      </c>
      <c r="H265" s="1878"/>
      <c r="I265" s="1755"/>
      <c r="J265" s="1789"/>
      <c r="K265" s="1794"/>
      <c r="L265" s="1878" t="s">
        <v>459</v>
      </c>
      <c r="M265" s="357"/>
      <c r="N265" s="350"/>
      <c r="O265" s="1640"/>
      <c r="P265" s="1640"/>
      <c r="AH265" s="1647">
        <v>0</v>
      </c>
    </row>
    <row s="1651" customFormat="1" customHeight="1" ht="18.75" hidden="1">
      <c r="A266" s="1796"/>
      <c r="B266" s="1796"/>
      <c r="C266" s="385" t="s">
        <v>1305</v>
      </c>
      <c r="D266" s="2478"/>
      <c r="E266" s="2220"/>
      <c r="F266" s="2399"/>
      <c r="G266" s="2443"/>
      <c r="H266" s="1516"/>
      <c r="I266" s="667" t="s">
        <v>1304</v>
      </c>
      <c r="J266" s="587"/>
      <c r="K266" s="1516"/>
      <c r="L266" s="230"/>
      <c r="M266" s="357"/>
      <c r="N266" s="350"/>
      <c r="O266" s="1640"/>
      <c r="P266" s="1640"/>
      <c r="AH266" s="1647">
        <v>0</v>
      </c>
    </row>
    <row s="1651" customFormat="1" customHeight="1" ht="0.75" hidden="1">
      <c r="A267" s="1796"/>
      <c r="B267" s="1796"/>
      <c r="C267" s="385" t="s">
        <v>1312</v>
      </c>
      <c r="D267" s="2478"/>
      <c r="E267" s="2220"/>
      <c r="F267" s="2399"/>
      <c r="G267" s="416"/>
      <c r="H267" s="1516"/>
      <c r="I267" s="667"/>
      <c r="J267" s="587"/>
      <c r="K267" s="1516"/>
      <c r="L267" s="230"/>
      <c r="M267" s="357"/>
      <c r="N267" s="350"/>
      <c r="O267" s="1640"/>
      <c r="P267" s="1640"/>
      <c r="AH267" s="1647">
        <v>0</v>
      </c>
    </row>
    <row s="1651" customFormat="1" customHeight="1" ht="18.75" hidden="1">
      <c r="A268" s="1796" t="s">
        <v>418</v>
      </c>
      <c r="B268" s="1796" t="s">
        <v>419</v>
      </c>
      <c r="C268" s="385"/>
      <c r="D268" s="2478"/>
      <c r="E268" s="2220"/>
      <c r="F268" s="2399" t="str">
        <f>INDEX(PT_DIFFERENTIATION_VTAR,MATCH(A268,PT_DIFFERENTIATION_VTAR_ID,0))</f>
        <v>Тариф на водоотведение</v>
      </c>
      <c r="G268" s="2443" t="str">
        <f>INDEX(PT_DIFFERENTIATION_NTAR,MATCH(B268,PT_DIFFERENTIATION_NTAR_ID,0))</f>
        <v/>
      </c>
      <c r="H268" s="1878"/>
      <c r="I268" s="1755"/>
      <c r="J268" s="1789"/>
      <c r="K268" s="1794"/>
      <c r="L268" s="1878" t="s">
        <v>459</v>
      </c>
      <c r="M268" s="357"/>
      <c r="N268" s="350"/>
      <c r="O268" s="1640"/>
      <c r="P268" s="1640"/>
      <c r="AH268" s="1647">
        <v>0</v>
      </c>
    </row>
    <row s="1651" customFormat="1" customHeight="1" ht="18.75" hidden="1">
      <c r="A269" s="1796"/>
      <c r="B269" s="1796"/>
      <c r="C269" s="385" t="s">
        <v>1305</v>
      </c>
      <c r="D269" s="2478"/>
      <c r="E269" s="2220"/>
      <c r="F269" s="2399"/>
      <c r="G269" s="2443"/>
      <c r="H269" s="1516"/>
      <c r="I269" s="667" t="s">
        <v>1304</v>
      </c>
      <c r="J269" s="587"/>
      <c r="K269" s="1516"/>
      <c r="L269" s="230"/>
      <c r="M269" s="357"/>
      <c r="N269" s="350"/>
      <c r="O269" s="1640"/>
      <c r="P269" s="1640"/>
      <c r="AH269" s="1647">
        <v>0</v>
      </c>
    </row>
    <row s="1651" customFormat="1" customHeight="1" ht="0.75" hidden="1">
      <c r="A270" s="1796"/>
      <c r="B270" s="1796"/>
      <c r="C270" s="385" t="s">
        <v>1312</v>
      </c>
      <c r="D270" s="2478"/>
      <c r="E270" s="2220"/>
      <c r="F270" s="2399"/>
      <c r="G270" s="416"/>
      <c r="H270" s="1516"/>
      <c r="I270" s="667"/>
      <c r="J270" s="587"/>
      <c r="K270" s="1516"/>
      <c r="L270" s="230"/>
      <c r="M270" s="357"/>
      <c r="N270" s="350"/>
      <c r="O270" s="1640"/>
      <c r="P270" s="1640"/>
      <c r="AH270" s="1647">
        <v>0</v>
      </c>
    </row>
    <row s="1651" customFormat="1" customHeight="1" ht="18.75" hidden="1">
      <c r="A271" s="1796" t="s">
        <v>423</v>
      </c>
      <c r="B271" s="1796" t="s">
        <v>424</v>
      </c>
      <c r="C271" s="385"/>
      <c r="D271" s="2478"/>
      <c r="E271" s="2220"/>
      <c r="F271" s="2399" t="str">
        <f>INDEX(PT_DIFFERENTIATION_VTAR,MATCH(A271,PT_DIFFERENTIATION_VTAR_ID,0))</f>
        <v>Тариф на транспортировку сточных вод</v>
      </c>
      <c r="G271" s="2443" t="str">
        <f>INDEX(PT_DIFFERENTIATION_NTAR,MATCH(B271,PT_DIFFERENTIATION_NTAR_ID,0))</f>
        <v/>
      </c>
      <c r="H271" s="1878"/>
      <c r="I271" s="1755"/>
      <c r="J271" s="1789"/>
      <c r="K271" s="1794"/>
      <c r="L271" s="1878" t="s">
        <v>459</v>
      </c>
      <c r="M271" s="357"/>
      <c r="N271" s="350"/>
      <c r="O271" s="1640"/>
      <c r="P271" s="1640"/>
      <c r="AH271" s="1647">
        <v>0</v>
      </c>
    </row>
    <row s="1651" customFormat="1" customHeight="1" ht="18.75" hidden="1">
      <c r="A272" s="1796"/>
      <c r="B272" s="1796"/>
      <c r="C272" s="385" t="s">
        <v>1305</v>
      </c>
      <c r="D272" s="2478"/>
      <c r="E272" s="2220"/>
      <c r="F272" s="2399"/>
      <c r="G272" s="2443"/>
      <c r="H272" s="1516"/>
      <c r="I272" s="667" t="s">
        <v>1304</v>
      </c>
      <c r="J272" s="587"/>
      <c r="K272" s="1516"/>
      <c r="L272" s="230"/>
      <c r="M272" s="357"/>
      <c r="N272" s="350"/>
      <c r="O272" s="1640"/>
      <c r="P272" s="1640"/>
      <c r="AH272" s="1647">
        <v>0</v>
      </c>
    </row>
    <row s="1651" customFormat="1" customHeight="1" ht="0.75" hidden="1">
      <c r="A273" s="1796"/>
      <c r="B273" s="1796"/>
      <c r="C273" s="385" t="s">
        <v>1312</v>
      </c>
      <c r="D273" s="2478"/>
      <c r="E273" s="2220"/>
      <c r="F273" s="2399"/>
      <c r="G273" s="416"/>
      <c r="H273" s="1516"/>
      <c r="I273" s="667"/>
      <c r="J273" s="587"/>
      <c r="K273" s="1516"/>
      <c r="L273" s="230"/>
      <c r="M273" s="357"/>
      <c r="N273" s="350"/>
      <c r="O273" s="1640"/>
      <c r="P273" s="1640"/>
      <c r="AH273" s="1647">
        <v>0</v>
      </c>
    </row>
    <row s="1651" customFormat="1" customHeight="1" ht="18.75" hidden="1">
      <c r="A274" s="1796" t="s">
        <v>428</v>
      </c>
      <c r="B274" s="1796" t="s">
        <v>429</v>
      </c>
      <c r="C274" s="385"/>
      <c r="D274" s="2478"/>
      <c r="E274" s="2220"/>
      <c r="F274" s="2399" t="str">
        <f>INDEX(PT_DIFFERENTIATION_VTAR,MATCH(A274,PT_DIFFERENTIATION_VTAR_ID,0))</f>
        <v>Тариф на подключение (технологическое присоединение) к централизованной системе водоотведения</v>
      </c>
      <c r="G274" s="2443" t="str">
        <f>INDEX(PT_DIFFERENTIATION_NTAR,MATCH(B274,PT_DIFFERENTIATION_NTAR_ID,0))</f>
        <v/>
      </c>
      <c r="H274" s="1878"/>
      <c r="I274" s="1755"/>
      <c r="J274" s="1789"/>
      <c r="K274" s="1794"/>
      <c r="L274" s="1878" t="s">
        <v>459</v>
      </c>
      <c r="M274" s="357"/>
      <c r="N274" s="350"/>
      <c r="O274" s="1640"/>
      <c r="P274" s="1640"/>
      <c r="AH274" s="1647">
        <v>0</v>
      </c>
    </row>
    <row s="1651" customFormat="1" customHeight="1" ht="18.75" hidden="1">
      <c r="A275" s="1796"/>
      <c r="B275" s="1796"/>
      <c r="C275" s="385" t="s">
        <v>1305</v>
      </c>
      <c r="D275" s="2478"/>
      <c r="E275" s="2220"/>
      <c r="F275" s="2399"/>
      <c r="G275" s="2443"/>
      <c r="H275" s="1516"/>
      <c r="I275" s="667" t="s">
        <v>1304</v>
      </c>
      <c r="J275" s="587"/>
      <c r="K275" s="1516"/>
      <c r="L275" s="230"/>
      <c r="M275" s="357"/>
      <c r="N275" s="350"/>
      <c r="O275" s="1640"/>
      <c r="P275" s="1640"/>
      <c r="AH275" s="1647">
        <v>0</v>
      </c>
    </row>
    <row s="1651" customFormat="1" customHeight="1" ht="1.05">
      <c r="A276" s="1796"/>
      <c r="B276" s="1796"/>
      <c r="C276" s="385" t="s">
        <v>1312</v>
      </c>
      <c r="D276" s="2478"/>
      <c r="E276" s="2220"/>
      <c r="F276" s="2399"/>
      <c r="G276" s="416"/>
      <c r="H276" s="1516"/>
      <c r="I276" s="667"/>
      <c r="J276" s="587"/>
      <c r="K276" s="1516"/>
      <c r="L276" s="230"/>
      <c r="M276" s="357"/>
      <c r="N276" s="350"/>
      <c r="O276" s="1640"/>
      <c r="P276" s="1640"/>
      <c r="AH276" s="1647">
        <v>1</v>
      </c>
    </row>
    <row customHeight="1" ht="27.299999999999997">
      <c r="A277" s="1796"/>
      <c r="B277" s="1796"/>
      <c r="D277" s="392"/>
      <c r="E277" s="163" t="s">
        <v>95</v>
      </c>
      <c r="F277" s="2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76"/>
      <c r="H277" s="2476"/>
      <c r="I277" s="2476"/>
      <c r="J277" s="2476"/>
      <c r="K277" s="2476"/>
      <c r="L277" s="2476"/>
      <c r="M277" s="313"/>
      <c r="N277" s="350"/>
      <c r="AH277" s="390">
        <v>26</v>
      </c>
    </row>
    <row s="1651" customFormat="1" customHeight="1" ht="60.75" hidden="1">
      <c r="A278" s="1796" t="s">
        <v>218</v>
      </c>
      <c r="B278" s="1796" t="s">
        <v>219</v>
      </c>
      <c r="C278" s="385"/>
      <c r="D278" s="2478"/>
      <c r="E278" s="2220"/>
      <c r="F278" s="239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43" t="str">
        <f>INDEX(PT_DIFFERENTIATION_NTAR,MATCH(B278,PT_DIFFERENTIATION_NTAR_ID,0))</f>
        <v/>
      </c>
      <c r="H278" s="1878"/>
      <c r="I278" s="1755"/>
      <c r="J278" s="1789"/>
      <c r="K278" s="1794"/>
      <c r="L278" s="1878" t="s">
        <v>459</v>
      </c>
      <c r="M27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50"/>
      <c r="O278" s="1640"/>
      <c r="P278" s="1640"/>
      <c r="AH278" s="1647">
        <v>0</v>
      </c>
    </row>
    <row s="1651" customFormat="1" customHeight="1" ht="18.75" hidden="1">
      <c r="A279" s="1796"/>
      <c r="B279" s="1796"/>
      <c r="C279" s="385" t="s">
        <v>1305</v>
      </c>
      <c r="D279" s="2478"/>
      <c r="E279" s="2220"/>
      <c r="F279" s="2399"/>
      <c r="G279" s="2443"/>
      <c r="H279" s="1516"/>
      <c r="I279" s="667" t="s">
        <v>1304</v>
      </c>
      <c r="J279" s="587"/>
      <c r="K279" s="1516"/>
      <c r="L279" s="230"/>
      <c r="M279" s="2186"/>
      <c r="N279" s="350"/>
      <c r="O279" s="1640"/>
      <c r="P279" s="1640"/>
      <c r="AH279" s="1647">
        <v>0</v>
      </c>
    </row>
    <row s="1651" customFormat="1" customHeight="1" ht="0.75" hidden="1">
      <c r="A280" s="1796"/>
      <c r="B280" s="1796"/>
      <c r="C280" s="385" t="s">
        <v>1312</v>
      </c>
      <c r="D280" s="2478"/>
      <c r="E280" s="2220"/>
      <c r="F280" s="2399"/>
      <c r="G280" s="416"/>
      <c r="H280" s="1516"/>
      <c r="I280" s="667"/>
      <c r="J280" s="587"/>
      <c r="K280" s="1516"/>
      <c r="L280" s="230"/>
      <c r="M280" s="2186"/>
      <c r="N280" s="350"/>
      <c r="O280" s="1640"/>
      <c r="P280" s="1640"/>
      <c r="AH280" s="1647">
        <v>0</v>
      </c>
    </row>
    <row s="1651" customFormat="1" customHeight="1" ht="45" hidden="1">
      <c r="A281" s="1796" t="s">
        <v>224</v>
      </c>
      <c r="B281" s="1796" t="s">
        <v>225</v>
      </c>
      <c r="C281" s="385"/>
      <c r="D281" s="2478"/>
      <c r="E281" s="2220"/>
      <c r="F281" s="2399"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43" t="str">
        <f>INDEX(PT_DIFFERENTIATION_NTAR,MATCH(B281,PT_DIFFERENTIATION_NTAR_ID,0))</f>
        <v/>
      </c>
      <c r="H281" s="1878"/>
      <c r="I281" s="1755"/>
      <c r="J281" s="1789"/>
      <c r="K281" s="1794"/>
      <c r="L281" s="1878" t="s">
        <v>459</v>
      </c>
      <c r="M281" s="2187"/>
      <c r="N281" s="350"/>
      <c r="O281" s="1640"/>
      <c r="P281" s="1640"/>
      <c r="AH281" s="1647">
        <v>0</v>
      </c>
    </row>
    <row s="1651" customFormat="1" customHeight="1" ht="18.75" hidden="1">
      <c r="A282" s="1796"/>
      <c r="B282" s="1796"/>
      <c r="C282" s="385" t="s">
        <v>1305</v>
      </c>
      <c r="D282" s="2478"/>
      <c r="E282" s="2220"/>
      <c r="F282" s="2399"/>
      <c r="G282" s="2443"/>
      <c r="H282" s="1516"/>
      <c r="I282" s="667" t="s">
        <v>1304</v>
      </c>
      <c r="J282" s="587"/>
      <c r="K282" s="1516"/>
      <c r="L282" s="230"/>
      <c r="M282" s="1877"/>
      <c r="N282" s="350"/>
      <c r="O282" s="1640"/>
      <c r="P282" s="1640"/>
      <c r="AH282" s="1647">
        <v>0</v>
      </c>
    </row>
    <row s="1651" customFormat="1" customHeight="1" ht="0.75" hidden="1">
      <c r="A283" s="1796"/>
      <c r="B283" s="1796"/>
      <c r="C283" s="385" t="s">
        <v>1312</v>
      </c>
      <c r="D283" s="2478"/>
      <c r="E283" s="2220"/>
      <c r="F283" s="2399"/>
      <c r="G283" s="416"/>
      <c r="H283" s="1516"/>
      <c r="I283" s="667"/>
      <c r="J283" s="587"/>
      <c r="K283" s="1516"/>
      <c r="L283" s="230"/>
      <c r="M283" s="357"/>
      <c r="N283" s="350"/>
      <c r="O283" s="1640"/>
      <c r="P283" s="1640"/>
      <c r="AH283" s="1647">
        <v>0</v>
      </c>
    </row>
    <row s="1651" customFormat="1" customHeight="1" ht="45" hidden="1">
      <c r="A284" s="1796" t="s">
        <v>230</v>
      </c>
      <c r="B284" s="1796" t="s">
        <v>231</v>
      </c>
      <c r="C284" s="385"/>
      <c r="D284" s="2478"/>
      <c r="E284" s="2220"/>
      <c r="F284" s="239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43" t="str">
        <f>INDEX(PT_DIFFERENTIATION_NTAR,MATCH(B284,PT_DIFFERENTIATION_NTAR_ID,0))</f>
        <v/>
      </c>
      <c r="H284" s="1878"/>
      <c r="I284" s="1755"/>
      <c r="J284" s="1789"/>
      <c r="K284" s="1794"/>
      <c r="L284" s="1878" t="s">
        <v>459</v>
      </c>
      <c r="M284" s="357"/>
      <c r="N284" s="350"/>
      <c r="O284" s="1640"/>
      <c r="P284" s="1640"/>
      <c r="AH284" s="1647">
        <v>0</v>
      </c>
    </row>
    <row s="1651" customFormat="1" customHeight="1" ht="18.75" hidden="1">
      <c r="A285" s="1796"/>
      <c r="B285" s="1796"/>
      <c r="C285" s="385" t="s">
        <v>1305</v>
      </c>
      <c r="D285" s="2478"/>
      <c r="E285" s="2220"/>
      <c r="F285" s="2399"/>
      <c r="G285" s="2443"/>
      <c r="H285" s="1516"/>
      <c r="I285" s="667" t="s">
        <v>1304</v>
      </c>
      <c r="J285" s="587"/>
      <c r="K285" s="1516"/>
      <c r="L285" s="230"/>
      <c r="M285" s="357"/>
      <c r="N285" s="350"/>
      <c r="O285" s="1640"/>
      <c r="P285" s="1640"/>
      <c r="AH285" s="1647">
        <v>0</v>
      </c>
    </row>
    <row s="1651" customFormat="1" customHeight="1" ht="0.75" hidden="1">
      <c r="A286" s="1796"/>
      <c r="B286" s="1796"/>
      <c r="C286" s="385" t="s">
        <v>1312</v>
      </c>
      <c r="D286" s="2478"/>
      <c r="E286" s="2220"/>
      <c r="F286" s="2399"/>
      <c r="G286" s="416"/>
      <c r="H286" s="1516"/>
      <c r="I286" s="667"/>
      <c r="J286" s="587"/>
      <c r="K286" s="1516"/>
      <c r="L286" s="230"/>
      <c r="M286" s="357"/>
      <c r="N286" s="350"/>
      <c r="O286" s="1640"/>
      <c r="P286" s="1640"/>
      <c r="AH286" s="1647">
        <v>0</v>
      </c>
    </row>
    <row s="1651" customFormat="1" customHeight="1" ht="45" hidden="1">
      <c r="A287" s="1796" t="s">
        <v>236</v>
      </c>
      <c r="B287" s="1796" t="s">
        <v>237</v>
      </c>
      <c r="C287" s="385"/>
      <c r="D287" s="2478"/>
      <c r="E287" s="2220"/>
      <c r="F287" s="239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43" t="str">
        <f>INDEX(PT_DIFFERENTIATION_NTAR,MATCH(B287,PT_DIFFERENTIATION_NTAR_ID,0))</f>
        <v/>
      </c>
      <c r="H287" s="1878"/>
      <c r="I287" s="1755"/>
      <c r="J287" s="1789"/>
      <c r="K287" s="1794"/>
      <c r="L287" s="1878" t="s">
        <v>459</v>
      </c>
      <c r="M287" s="357"/>
      <c r="N287" s="350"/>
      <c r="O287" s="1640"/>
      <c r="P287" s="1640"/>
      <c r="AH287" s="1647">
        <v>0</v>
      </c>
    </row>
    <row s="1651" customFormat="1" customHeight="1" ht="18.75" hidden="1">
      <c r="A288" s="1796"/>
      <c r="B288" s="1796"/>
      <c r="C288" s="385" t="s">
        <v>1305</v>
      </c>
      <c r="D288" s="2478"/>
      <c r="E288" s="2220"/>
      <c r="F288" s="2399"/>
      <c r="G288" s="2443"/>
      <c r="H288" s="1516"/>
      <c r="I288" s="667" t="s">
        <v>1304</v>
      </c>
      <c r="J288" s="587"/>
      <c r="K288" s="1516"/>
      <c r="L288" s="230"/>
      <c r="M288" s="357"/>
      <c r="N288" s="350"/>
      <c r="O288" s="1640"/>
      <c r="P288" s="1640"/>
      <c r="AH288" s="1647">
        <v>0</v>
      </c>
    </row>
    <row s="1651" customFormat="1" customHeight="1" ht="0.75" hidden="1">
      <c r="A289" s="1796"/>
      <c r="B289" s="1796"/>
      <c r="C289" s="385" t="s">
        <v>1312</v>
      </c>
      <c r="D289" s="2478"/>
      <c r="E289" s="2220"/>
      <c r="F289" s="2399"/>
      <c r="G289" s="416"/>
      <c r="H289" s="1516"/>
      <c r="I289" s="667"/>
      <c r="J289" s="587"/>
      <c r="K289" s="1516"/>
      <c r="L289" s="230"/>
      <c r="M289" s="357"/>
      <c r="N289" s="350"/>
      <c r="O289" s="1640"/>
      <c r="P289" s="1640"/>
      <c r="AH289" s="1647">
        <v>0</v>
      </c>
    </row>
    <row s="1651" customFormat="1" customHeight="1" ht="18.75" hidden="1">
      <c r="A290" s="1796" t="s">
        <v>242</v>
      </c>
      <c r="B290" s="1796" t="s">
        <v>243</v>
      </c>
      <c r="C290" s="385"/>
      <c r="D290" s="2478"/>
      <c r="E290" s="2220"/>
      <c r="F290" s="2399" t="str">
        <f>INDEX(PT_DIFFERENTIATION_VTAR,MATCH(A290,PT_DIFFERENTIATION_VTAR_ID,0))</f>
        <v>Тарифы на услуги по передаче тепловой энергии</v>
      </c>
      <c r="G290" s="2443" t="str">
        <f>INDEX(PT_DIFFERENTIATION_NTAR,MATCH(B290,PT_DIFFERENTIATION_NTAR_ID,0))</f>
        <v/>
      </c>
      <c r="H290" s="1878"/>
      <c r="I290" s="1755"/>
      <c r="J290" s="1789"/>
      <c r="K290" s="1794"/>
      <c r="L290" s="1878" t="s">
        <v>459</v>
      </c>
      <c r="M290" s="357"/>
      <c r="N290" s="350"/>
      <c r="O290" s="1640"/>
      <c r="P290" s="1640"/>
      <c r="AH290" s="1647">
        <v>0</v>
      </c>
    </row>
    <row s="1651" customFormat="1" customHeight="1" ht="18.75" hidden="1">
      <c r="A291" s="1796"/>
      <c r="B291" s="1796"/>
      <c r="C291" s="385" t="s">
        <v>1305</v>
      </c>
      <c r="D291" s="2478"/>
      <c r="E291" s="2220"/>
      <c r="F291" s="2399"/>
      <c r="G291" s="2443"/>
      <c r="H291" s="1516"/>
      <c r="I291" s="667" t="s">
        <v>1304</v>
      </c>
      <c r="J291" s="587"/>
      <c r="K291" s="1516"/>
      <c r="L291" s="230"/>
      <c r="M291" s="357"/>
      <c r="N291" s="350"/>
      <c r="O291" s="1640"/>
      <c r="P291" s="1640"/>
      <c r="AH291" s="1647">
        <v>0</v>
      </c>
    </row>
    <row s="1651" customFormat="1" customHeight="1" ht="0.75" hidden="1">
      <c r="A292" s="1796"/>
      <c r="B292" s="1796"/>
      <c r="C292" s="385" t="s">
        <v>1312</v>
      </c>
      <c r="D292" s="2478"/>
      <c r="E292" s="2220"/>
      <c r="F292" s="2399"/>
      <c r="G292" s="416"/>
      <c r="H292" s="1516"/>
      <c r="I292" s="667"/>
      <c r="J292" s="587"/>
      <c r="K292" s="1516"/>
      <c r="L292" s="230"/>
      <c r="M292" s="357"/>
      <c r="N292" s="350"/>
      <c r="O292" s="1640"/>
      <c r="P292" s="1640"/>
      <c r="AH292" s="1647">
        <v>0</v>
      </c>
    </row>
    <row s="1651" customFormat="1" customHeight="1" ht="18.75" hidden="1">
      <c r="A293" s="1796" t="s">
        <v>248</v>
      </c>
      <c r="B293" s="1796" t="s">
        <v>249</v>
      </c>
      <c r="C293" s="385"/>
      <c r="D293" s="2478"/>
      <c r="E293" s="2220"/>
      <c r="F293" s="2399" t="str">
        <f>INDEX(PT_DIFFERENTIATION_VTAR,MATCH(A293,PT_DIFFERENTIATION_VTAR_ID,0))</f>
        <v>Тарифы на услуги по передаче теплоносителя</v>
      </c>
      <c r="G293" s="2443" t="str">
        <f>INDEX(PT_DIFFERENTIATION_NTAR,MATCH(B293,PT_DIFFERENTIATION_NTAR_ID,0))</f>
        <v/>
      </c>
      <c r="H293" s="1878"/>
      <c r="I293" s="1755"/>
      <c r="J293" s="1789"/>
      <c r="K293" s="1794"/>
      <c r="L293" s="1878" t="s">
        <v>459</v>
      </c>
      <c r="M293" s="357"/>
      <c r="N293" s="350"/>
      <c r="O293" s="1640"/>
      <c r="P293" s="1640"/>
      <c r="AH293" s="1647">
        <v>0</v>
      </c>
    </row>
    <row s="1651" customFormat="1" customHeight="1" ht="18.75" hidden="1">
      <c r="A294" s="1796"/>
      <c r="B294" s="1796"/>
      <c r="C294" s="385" t="s">
        <v>1305</v>
      </c>
      <c r="D294" s="2478"/>
      <c r="E294" s="2220"/>
      <c r="F294" s="2399"/>
      <c r="G294" s="2443"/>
      <c r="H294" s="1516"/>
      <c r="I294" s="667" t="s">
        <v>1304</v>
      </c>
      <c r="J294" s="587"/>
      <c r="K294" s="1516"/>
      <c r="L294" s="230"/>
      <c r="M294" s="357"/>
      <c r="N294" s="350"/>
      <c r="O294" s="1640"/>
      <c r="P294" s="1640"/>
      <c r="AH294" s="1647">
        <v>0</v>
      </c>
    </row>
    <row s="1651" customFormat="1" customHeight="1" ht="0.75" hidden="1">
      <c r="A295" s="1796"/>
      <c r="B295" s="1796"/>
      <c r="C295" s="385" t="s">
        <v>1312</v>
      </c>
      <c r="D295" s="2478"/>
      <c r="E295" s="2220"/>
      <c r="F295" s="2399"/>
      <c r="G295" s="416"/>
      <c r="H295" s="1516"/>
      <c r="I295" s="667"/>
      <c r="J295" s="587"/>
      <c r="K295" s="1516"/>
      <c r="L295" s="230"/>
      <c r="M295" s="357"/>
      <c r="N295" s="350"/>
      <c r="O295" s="1640"/>
      <c r="P295" s="1640"/>
      <c r="AH295" s="1647">
        <v>0</v>
      </c>
    </row>
    <row s="1651" customFormat="1" customHeight="1" ht="18.75" hidden="1">
      <c r="A296" s="1796" t="s">
        <v>254</v>
      </c>
      <c r="B296" s="1796" t="s">
        <v>255</v>
      </c>
      <c r="C296" s="385"/>
      <c r="D296" s="2478"/>
      <c r="E296" s="2220"/>
      <c r="F296" s="239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43" t="str">
        <f>INDEX(PT_DIFFERENTIATION_NTAR,MATCH(B296,PT_DIFFERENTIATION_NTAR_ID,0))</f>
        <v/>
      </c>
      <c r="H296" s="1878"/>
      <c r="I296" s="1755"/>
      <c r="J296" s="1789"/>
      <c r="K296" s="1794"/>
      <c r="L296" s="1878" t="s">
        <v>459</v>
      </c>
      <c r="M296" s="357"/>
      <c r="N296" s="350"/>
      <c r="O296" s="1640"/>
      <c r="P296" s="1640"/>
      <c r="AH296" s="1647">
        <v>0</v>
      </c>
    </row>
    <row s="1651" customFormat="1" customHeight="1" ht="18.75" hidden="1">
      <c r="A297" s="1796"/>
      <c r="B297" s="1796"/>
      <c r="C297" s="385" t="s">
        <v>1305</v>
      </c>
      <c r="D297" s="2478"/>
      <c r="E297" s="2220"/>
      <c r="F297" s="2399"/>
      <c r="G297" s="2443"/>
      <c r="H297" s="1516"/>
      <c r="I297" s="667" t="s">
        <v>1304</v>
      </c>
      <c r="J297" s="587"/>
      <c r="K297" s="1516"/>
      <c r="L297" s="230"/>
      <c r="M297" s="357"/>
      <c r="N297" s="350"/>
      <c r="O297" s="1640"/>
      <c r="P297" s="1640"/>
      <c r="AH297" s="1647">
        <v>0</v>
      </c>
    </row>
    <row s="1651" customFormat="1" customHeight="1" ht="0.75" hidden="1">
      <c r="A298" s="1796"/>
      <c r="B298" s="1796"/>
      <c r="C298" s="385" t="s">
        <v>1312</v>
      </c>
      <c r="D298" s="2478"/>
      <c r="E298" s="2220"/>
      <c r="F298" s="2399"/>
      <c r="G298" s="416"/>
      <c r="H298" s="1516"/>
      <c r="I298" s="667"/>
      <c r="J298" s="587"/>
      <c r="K298" s="1516"/>
      <c r="L298" s="230"/>
      <c r="M298" s="357"/>
      <c r="N298" s="350"/>
      <c r="O298" s="1640"/>
      <c r="P298" s="1640"/>
      <c r="AH298" s="1647">
        <v>0</v>
      </c>
    </row>
    <row s="1651" customFormat="1" customHeight="1" ht="18.75" hidden="1">
      <c r="A299" s="1796" t="s">
        <v>263</v>
      </c>
      <c r="B299" s="1796" t="s">
        <v>264</v>
      </c>
      <c r="C299" s="385"/>
      <c r="D299" s="2478"/>
      <c r="E299" s="2220"/>
      <c r="F299" s="2399" t="str">
        <f>INDEX(PT_DIFFERENTIATION_VTAR,MATCH(A299,PT_DIFFERENTIATION_VTAR_ID,0))</f>
        <v>Плата за подключение (технологическое присоединение) к системе теплоснабжения</v>
      </c>
      <c r="G299" s="2443" t="str">
        <f>INDEX(PT_DIFFERENTIATION_NTAR,MATCH(B299,PT_DIFFERENTIATION_NTAR_ID,0))</f>
        <v>Расходы на проведение мероприятий по подключению объектов заявителей</v>
      </c>
      <c r="H299" s="1878"/>
      <c r="I299" s="1755"/>
      <c r="J299" s="1789"/>
      <c r="K299" s="1794"/>
      <c r="L299" s="1878" t="s">
        <v>459</v>
      </c>
      <c r="M299" s="357"/>
      <c r="N299" s="350"/>
      <c r="O299" s="1640"/>
      <c r="P299" s="1640"/>
      <c r="AH299" s="1647">
        <v>0</v>
      </c>
    </row>
    <row s="1651" customFormat="1" customHeight="1" ht="18.75" hidden="1">
      <c r="A300" s="1796"/>
      <c r="B300" s="1796"/>
      <c r="C300" s="385" t="s">
        <v>1305</v>
      </c>
      <c r="D300" s="2478"/>
      <c r="E300" s="2220"/>
      <c r="F300" s="2399"/>
      <c r="G300" s="2443"/>
      <c r="H300" s="1516"/>
      <c r="I300" s="667" t="s">
        <v>1304</v>
      </c>
      <c r="J300" s="587"/>
      <c r="K300" s="1516"/>
      <c r="L300" s="230"/>
      <c r="M300" s="357"/>
      <c r="N300" s="350"/>
      <c r="O300" s="1640"/>
      <c r="P300" s="1640"/>
      <c r="AH300" s="1647">
        <v>0</v>
      </c>
    </row>
    <row s="1651" customFormat="1" customHeight="1" ht="18.75">
      <c r="A301" s="1839" t="s">
        <v>263</v>
      </c>
      <c r="B301" s="1839" t="s">
        <v>332</v>
      </c>
      <c r="C301" s="1703"/>
      <c r="D301" s="360"/>
      <c r="E301" s="1047"/>
      <c r="F301" s="1047"/>
      <c r="G301" s="2443" t="str">
        <f>INDEX(PT_DIFFERENTIATION_NTAR,MATCH(B301,PT_DIFFERENTIATION_NTAR_ID,0))</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H301" s="2287"/>
      <c r="I301" s="1755"/>
      <c r="J301" s="1789"/>
      <c r="K301" s="1794"/>
      <c r="L301" s="2287" t="s">
        <v>459</v>
      </c>
      <c r="M301" s="2334"/>
      <c r="N301" s="634"/>
      <c r="O301" s="1640"/>
      <c r="P301" s="1640"/>
      <c r="Q301" s="1651"/>
      <c r="R301" s="1651"/>
      <c r="S301" s="1651"/>
      <c r="T301" s="1651"/>
      <c r="U301" s="1651"/>
      <c r="V301" s="1651"/>
      <c r="W301" s="1651"/>
      <c r="X301" s="1651"/>
      <c r="Y301" s="1651"/>
      <c r="Z301" s="1651"/>
      <c r="AA301" s="1651"/>
      <c r="AB301" s="1651"/>
      <c r="AC301" s="1651"/>
      <c r="AD301" s="1651"/>
      <c r="AE301" s="1651"/>
      <c r="AF301" s="1651"/>
      <c r="AG301" s="1651"/>
      <c r="AH301" s="1651">
        <v>0</v>
      </c>
    </row>
    <row s="1651" customFormat="1" customHeight="1" ht="18.75">
      <c r="A302" s="1839"/>
      <c r="B302" s="1839"/>
      <c r="C302" s="1703" t="s">
        <v>1305</v>
      </c>
      <c r="D302" s="360"/>
      <c r="E302" s="1047"/>
      <c r="F302" s="1047"/>
      <c r="G302" s="2443"/>
      <c r="H302" s="2859"/>
      <c r="I302" s="2860" t="s">
        <v>1304</v>
      </c>
      <c r="J302" s="2861"/>
      <c r="K302" s="2862"/>
      <c r="L302" s="2863"/>
      <c r="M302" s="2334"/>
      <c r="N302" s="634"/>
      <c r="O302" s="1640"/>
      <c r="P302" s="1640"/>
      <c r="Q302" s="1651"/>
      <c r="R302" s="1651"/>
      <c r="S302" s="1651"/>
      <c r="T302" s="1651"/>
      <c r="U302" s="1651"/>
      <c r="V302" s="1651"/>
      <c r="W302" s="1651"/>
      <c r="X302" s="1651"/>
      <c r="Y302" s="1651"/>
      <c r="Z302" s="1651"/>
      <c r="AA302" s="1651"/>
      <c r="AB302" s="1651"/>
      <c r="AC302" s="1651"/>
      <c r="AD302" s="1651"/>
      <c r="AE302" s="1651"/>
      <c r="AF302" s="1651"/>
      <c r="AG302" s="1651"/>
      <c r="AH302" s="1651">
        <v>0</v>
      </c>
    </row>
    <row s="1651" customFormat="1" customHeight="1" ht="0.75" hidden="1">
      <c r="A303" s="1796"/>
      <c r="B303" s="1796"/>
      <c r="C303" s="385" t="s">
        <v>1312</v>
      </c>
      <c r="D303" s="2478"/>
      <c r="E303" s="2220"/>
      <c r="F303" s="2399"/>
      <c r="G303" s="416"/>
      <c r="H303" s="1516"/>
      <c r="I303" s="667"/>
      <c r="J303" s="587"/>
      <c r="K303" s="1516"/>
      <c r="L303" s="230"/>
      <c r="M303" s="357"/>
      <c r="N303" s="350"/>
      <c r="O303" s="1640"/>
      <c r="P303" s="1640"/>
      <c r="AH303" s="1647">
        <v>0</v>
      </c>
    </row>
    <row s="1651" customFormat="1" customHeight="1" ht="18.75" hidden="1">
      <c r="A304" s="1796" t="s">
        <v>358</v>
      </c>
      <c r="B304" s="1796" t="s">
        <v>359</v>
      </c>
      <c r="C304" s="385"/>
      <c r="D304" s="2478"/>
      <c r="E304" s="2220"/>
      <c r="F304" s="2399" t="str">
        <f>INDEX(PT_DIFFERENTIATION_VTAR,MATCH(A304,PT_DIFFERENTIATION_VTAR_ID,0))</f>
        <v>Плата за подключение (технологическое присоединение) к системе теплоснабжения (индивидуальная)</v>
      </c>
      <c r="G304" s="2443" t="str">
        <f>INDEX(PT_DIFFERENTIATION_NTAR,MATCH(B304,PT_DIFFERENTIATION_NTAR_ID,0))</f>
        <v/>
      </c>
      <c r="H304" s="2005"/>
      <c r="I304" s="1755"/>
      <c r="J304" s="1789"/>
      <c r="K304" s="1794"/>
      <c r="L304" s="2005" t="s">
        <v>459</v>
      </c>
      <c r="M304" s="357"/>
      <c r="N304" s="350"/>
      <c r="O304" s="1640"/>
      <c r="P304" s="1640"/>
      <c r="AH304" s="1647">
        <v>0</v>
      </c>
    </row>
    <row s="1651" customFormat="1" customHeight="1" ht="18.75" hidden="1">
      <c r="A305" s="1796"/>
      <c r="B305" s="1796"/>
      <c r="C305" s="385" t="s">
        <v>1305</v>
      </c>
      <c r="D305" s="2478"/>
      <c r="E305" s="2220"/>
      <c r="F305" s="2399"/>
      <c r="G305" s="2443"/>
      <c r="H305" s="1516"/>
      <c r="I305" s="667" t="s">
        <v>1304</v>
      </c>
      <c r="J305" s="587"/>
      <c r="K305" s="1516"/>
      <c r="L305" s="230"/>
      <c r="M305" s="357"/>
      <c r="N305" s="350"/>
      <c r="O305" s="1640"/>
      <c r="P305" s="1640"/>
      <c r="AH305" s="1647">
        <v>0</v>
      </c>
    </row>
    <row s="1651" customFormat="1" customHeight="1" ht="0.75" hidden="1">
      <c r="A306" s="1796"/>
      <c r="B306" s="1796"/>
      <c r="C306" s="385" t="s">
        <v>1312</v>
      </c>
      <c r="D306" s="2478"/>
      <c r="E306" s="2220"/>
      <c r="F306" s="2399"/>
      <c r="G306" s="416"/>
      <c r="H306" s="1516"/>
      <c r="I306" s="667"/>
      <c r="J306" s="587"/>
      <c r="K306" s="1516"/>
      <c r="L306" s="230"/>
      <c r="M306" s="357"/>
      <c r="N306" s="350"/>
      <c r="O306" s="1640"/>
      <c r="P306" s="1640"/>
      <c r="AH306" s="1647">
        <v>0</v>
      </c>
    </row>
    <row s="1651" customFormat="1" customHeight="1" ht="18.75" hidden="1">
      <c r="A307" s="1796" t="s">
        <v>378</v>
      </c>
      <c r="B307" s="1796" t="s">
        <v>379</v>
      </c>
      <c r="C307" s="385"/>
      <c r="D307" s="2478"/>
      <c r="E307" s="2220"/>
      <c r="F307" s="2399" t="str">
        <f>INDEX(PT_DIFFERENTIATION_VTAR,MATCH(A307,PT_DIFFERENTIATION_VTAR_ID,0))</f>
        <v>Тариф на питьевую воду (питьевое водоснабжение)</v>
      </c>
      <c r="G307" s="2443" t="str">
        <f>INDEX(PT_DIFFERENTIATION_NTAR,MATCH(B307,PT_DIFFERENTIATION_NTAR_ID,0))</f>
        <v/>
      </c>
      <c r="H307" s="1878"/>
      <c r="I307" s="1755"/>
      <c r="J307" s="1789"/>
      <c r="K307" s="1794"/>
      <c r="L307" s="1878" t="s">
        <v>459</v>
      </c>
      <c r="M307" s="357"/>
      <c r="N307" s="350"/>
      <c r="O307" s="1640"/>
      <c r="P307" s="1640"/>
      <c r="AH307" s="1647">
        <v>0</v>
      </c>
    </row>
    <row s="1651" customFormat="1" customHeight="1" ht="18.75" hidden="1">
      <c r="A308" s="1796"/>
      <c r="B308" s="1796"/>
      <c r="C308" s="385" t="s">
        <v>1305</v>
      </c>
      <c r="D308" s="2478"/>
      <c r="E308" s="2220"/>
      <c r="F308" s="2399"/>
      <c r="G308" s="2443"/>
      <c r="H308" s="1516"/>
      <c r="I308" s="667" t="s">
        <v>1304</v>
      </c>
      <c r="J308" s="587"/>
      <c r="K308" s="1516"/>
      <c r="L308" s="230"/>
      <c r="M308" s="357"/>
      <c r="N308" s="350"/>
      <c r="O308" s="1640"/>
      <c r="P308" s="1640"/>
      <c r="AH308" s="1647">
        <v>0</v>
      </c>
    </row>
    <row s="1651" customFormat="1" customHeight="1" ht="0.75" hidden="1">
      <c r="A309" s="1796"/>
      <c r="B309" s="1796"/>
      <c r="C309" s="385" t="s">
        <v>1312</v>
      </c>
      <c r="D309" s="2478"/>
      <c r="E309" s="2220"/>
      <c r="F309" s="2399"/>
      <c r="G309" s="416"/>
      <c r="H309" s="1516"/>
      <c r="I309" s="667"/>
      <c r="J309" s="587"/>
      <c r="K309" s="1516"/>
      <c r="L309" s="230"/>
      <c r="M309" s="357"/>
      <c r="N309" s="350"/>
      <c r="O309" s="1640"/>
      <c r="P309" s="1640"/>
      <c r="AH309" s="1647">
        <v>0</v>
      </c>
    </row>
    <row s="1651" customFormat="1" customHeight="1" ht="18.75" hidden="1">
      <c r="A310" s="1796" t="s">
        <v>383</v>
      </c>
      <c r="B310" s="1796" t="s">
        <v>384</v>
      </c>
      <c r="C310" s="385"/>
      <c r="D310" s="2478"/>
      <c r="E310" s="2220"/>
      <c r="F310" s="2399" t="str">
        <f>INDEX(PT_DIFFERENTIATION_VTAR,MATCH(A310,PT_DIFFERENTIATION_VTAR_ID,0))</f>
        <v>Тариф на техническую воду</v>
      </c>
      <c r="G310" s="2443" t="str">
        <f>INDEX(PT_DIFFERENTIATION_NTAR,MATCH(B310,PT_DIFFERENTIATION_NTAR_ID,0))</f>
        <v/>
      </c>
      <c r="H310" s="1878"/>
      <c r="I310" s="1755"/>
      <c r="J310" s="1789"/>
      <c r="K310" s="1794"/>
      <c r="L310" s="1878" t="s">
        <v>459</v>
      </c>
      <c r="M310" s="357"/>
      <c r="N310" s="350"/>
      <c r="O310" s="1640"/>
      <c r="P310" s="1640"/>
      <c r="AH310" s="1647">
        <v>0</v>
      </c>
    </row>
    <row s="1651" customFormat="1" customHeight="1" ht="18.75" hidden="1">
      <c r="A311" s="1796"/>
      <c r="B311" s="1796"/>
      <c r="C311" s="385" t="s">
        <v>1305</v>
      </c>
      <c r="D311" s="2478"/>
      <c r="E311" s="2220"/>
      <c r="F311" s="2399"/>
      <c r="G311" s="2443"/>
      <c r="H311" s="1516"/>
      <c r="I311" s="667" t="s">
        <v>1304</v>
      </c>
      <c r="J311" s="587"/>
      <c r="K311" s="1516"/>
      <c r="L311" s="230"/>
      <c r="M311" s="357"/>
      <c r="N311" s="350"/>
      <c r="O311" s="1640"/>
      <c r="P311" s="1640"/>
      <c r="AH311" s="1647">
        <v>0</v>
      </c>
    </row>
    <row s="1651" customFormat="1" customHeight="1" ht="0.75" hidden="1">
      <c r="A312" s="1796"/>
      <c r="B312" s="1796"/>
      <c r="C312" s="385" t="s">
        <v>1312</v>
      </c>
      <c r="D312" s="2478"/>
      <c r="E312" s="2220"/>
      <c r="F312" s="2399"/>
      <c r="G312" s="416"/>
      <c r="H312" s="1516"/>
      <c r="I312" s="667"/>
      <c r="J312" s="587"/>
      <c r="K312" s="1516"/>
      <c r="L312" s="230"/>
      <c r="M312" s="357"/>
      <c r="N312" s="350"/>
      <c r="O312" s="1640"/>
      <c r="P312" s="1640"/>
      <c r="AH312" s="1647">
        <v>0</v>
      </c>
    </row>
    <row s="1651" customFormat="1" customHeight="1" ht="18.75" hidden="1">
      <c r="A313" s="1796" t="s">
        <v>388</v>
      </c>
      <c r="B313" s="1796" t="s">
        <v>389</v>
      </c>
      <c r="C313" s="385"/>
      <c r="D313" s="2478"/>
      <c r="E313" s="2220"/>
      <c r="F313" s="2399" t="str">
        <f>INDEX(PT_DIFFERENTIATION_VTAR,MATCH(A313,PT_DIFFERENTIATION_VTAR_ID,0))</f>
        <v>Тариф на транспортировку воды</v>
      </c>
      <c r="G313" s="2443" t="str">
        <f>INDEX(PT_DIFFERENTIATION_NTAR,MATCH(B313,PT_DIFFERENTIATION_NTAR_ID,0))</f>
        <v/>
      </c>
      <c r="H313" s="1878"/>
      <c r="I313" s="1755"/>
      <c r="J313" s="1789"/>
      <c r="K313" s="1794"/>
      <c r="L313" s="1878" t="s">
        <v>459</v>
      </c>
      <c r="M313" s="357"/>
      <c r="N313" s="350"/>
      <c r="O313" s="1640"/>
      <c r="P313" s="1640"/>
      <c r="AH313" s="1647">
        <v>0</v>
      </c>
    </row>
    <row s="1651" customFormat="1" customHeight="1" ht="18.75" hidden="1">
      <c r="A314" s="1796"/>
      <c r="B314" s="1796"/>
      <c r="C314" s="385" t="s">
        <v>1305</v>
      </c>
      <c r="D314" s="2478"/>
      <c r="E314" s="2220"/>
      <c r="F314" s="2399"/>
      <c r="G314" s="2443"/>
      <c r="H314" s="1516"/>
      <c r="I314" s="667" t="s">
        <v>1304</v>
      </c>
      <c r="J314" s="587"/>
      <c r="K314" s="1516"/>
      <c r="L314" s="230"/>
      <c r="M314" s="357"/>
      <c r="N314" s="350"/>
      <c r="O314" s="1640"/>
      <c r="P314" s="1640"/>
      <c r="AH314" s="1647">
        <v>0</v>
      </c>
    </row>
    <row s="1651" customFormat="1" customHeight="1" ht="0.75" hidden="1">
      <c r="A315" s="1796"/>
      <c r="B315" s="1796"/>
      <c r="C315" s="385" t="s">
        <v>1312</v>
      </c>
      <c r="D315" s="2478"/>
      <c r="E315" s="2220"/>
      <c r="F315" s="2399"/>
      <c r="G315" s="416"/>
      <c r="H315" s="1516"/>
      <c r="I315" s="667"/>
      <c r="J315" s="587"/>
      <c r="K315" s="1516"/>
      <c r="L315" s="230"/>
      <c r="M315" s="357"/>
      <c r="N315" s="350"/>
      <c r="O315" s="1640"/>
      <c r="P315" s="1640"/>
      <c r="AH315" s="1647">
        <v>0</v>
      </c>
    </row>
    <row s="1651" customFormat="1" customHeight="1" ht="18.75" hidden="1">
      <c r="A316" s="1796" t="s">
        <v>393</v>
      </c>
      <c r="B316" s="1796" t="s">
        <v>394</v>
      </c>
      <c r="C316" s="385"/>
      <c r="D316" s="2478"/>
      <c r="E316" s="2220"/>
      <c r="F316" s="2399" t="str">
        <f>INDEX(PT_DIFFERENTIATION_VTAR,MATCH(A316,PT_DIFFERENTIATION_VTAR_ID,0))</f>
        <v>Тариф на подвоз воды</v>
      </c>
      <c r="G316" s="2443" t="str">
        <f>INDEX(PT_DIFFERENTIATION_NTAR,MATCH(B316,PT_DIFFERENTIATION_NTAR_ID,0))</f>
        <v/>
      </c>
      <c r="H316" s="1878"/>
      <c r="I316" s="1755"/>
      <c r="J316" s="1789"/>
      <c r="K316" s="1794"/>
      <c r="L316" s="1878" t="s">
        <v>459</v>
      </c>
      <c r="M316" s="357"/>
      <c r="N316" s="350"/>
      <c r="O316" s="1640"/>
      <c r="P316" s="1640"/>
      <c r="AH316" s="1647">
        <v>0</v>
      </c>
    </row>
    <row s="1651" customFormat="1" customHeight="1" ht="18.75" hidden="1">
      <c r="A317" s="1796"/>
      <c r="B317" s="1796"/>
      <c r="C317" s="385" t="s">
        <v>1305</v>
      </c>
      <c r="D317" s="2478"/>
      <c r="E317" s="2220"/>
      <c r="F317" s="2399"/>
      <c r="G317" s="2443"/>
      <c r="H317" s="1516"/>
      <c r="I317" s="667" t="s">
        <v>1304</v>
      </c>
      <c r="J317" s="587"/>
      <c r="K317" s="1516"/>
      <c r="L317" s="230"/>
      <c r="M317" s="357"/>
      <c r="N317" s="350"/>
      <c r="O317" s="1640"/>
      <c r="P317" s="1640"/>
      <c r="AH317" s="1647">
        <v>0</v>
      </c>
    </row>
    <row s="1651" customFormat="1" customHeight="1" ht="0.75" hidden="1">
      <c r="A318" s="1796"/>
      <c r="B318" s="1796"/>
      <c r="C318" s="385" t="s">
        <v>1312</v>
      </c>
      <c r="D318" s="2478"/>
      <c r="E318" s="2220"/>
      <c r="F318" s="2399"/>
      <c r="G318" s="416"/>
      <c r="H318" s="1516"/>
      <c r="I318" s="667"/>
      <c r="J318" s="587"/>
      <c r="K318" s="1516"/>
      <c r="L318" s="230"/>
      <c r="M318" s="357"/>
      <c r="N318" s="350"/>
      <c r="O318" s="1640"/>
      <c r="P318" s="1640"/>
      <c r="AH318" s="1647">
        <v>0</v>
      </c>
    </row>
    <row s="1651" customFormat="1" customHeight="1" ht="18.75" hidden="1">
      <c r="A319" s="1796" t="s">
        <v>398</v>
      </c>
      <c r="B319" s="1796" t="s">
        <v>399</v>
      </c>
      <c r="C319" s="385"/>
      <c r="D319" s="2478"/>
      <c r="E319" s="2220"/>
      <c r="F319" s="2399"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43" t="str">
        <f>INDEX(PT_DIFFERENTIATION_NTAR,MATCH(B319,PT_DIFFERENTIATION_NTAR_ID,0))</f>
        <v/>
      </c>
      <c r="H319" s="1878"/>
      <c r="I319" s="1755"/>
      <c r="J319" s="1789"/>
      <c r="K319" s="1794"/>
      <c r="L319" s="1878" t="s">
        <v>459</v>
      </c>
      <c r="M319" s="357"/>
      <c r="N319" s="350"/>
      <c r="O319" s="1640"/>
      <c r="P319" s="1640"/>
      <c r="AH319" s="1647">
        <v>0</v>
      </c>
    </row>
    <row s="1651" customFormat="1" customHeight="1" ht="18.75" hidden="1">
      <c r="A320" s="1796"/>
      <c r="B320" s="1796"/>
      <c r="C320" s="385" t="s">
        <v>1305</v>
      </c>
      <c r="D320" s="2478"/>
      <c r="E320" s="2220"/>
      <c r="F320" s="2399"/>
      <c r="G320" s="2443"/>
      <c r="H320" s="1516"/>
      <c r="I320" s="667" t="s">
        <v>1304</v>
      </c>
      <c r="J320" s="587"/>
      <c r="K320" s="1516"/>
      <c r="L320" s="230"/>
      <c r="M320" s="357"/>
      <c r="N320" s="350"/>
      <c r="O320" s="1640"/>
      <c r="P320" s="1640"/>
      <c r="AH320" s="1647">
        <v>0</v>
      </c>
    </row>
    <row s="1651" customFormat="1" customHeight="1" ht="0.75" hidden="1">
      <c r="A321" s="1796"/>
      <c r="B321" s="1796"/>
      <c r="C321" s="385" t="s">
        <v>1312</v>
      </c>
      <c r="D321" s="2478"/>
      <c r="E321" s="2220"/>
      <c r="F321" s="2399"/>
      <c r="G321" s="416"/>
      <c r="H321" s="1516"/>
      <c r="I321" s="667"/>
      <c r="J321" s="587"/>
      <c r="K321" s="1516"/>
      <c r="L321" s="230"/>
      <c r="M321" s="357"/>
      <c r="N321" s="350"/>
      <c r="O321" s="1640"/>
      <c r="P321" s="1640"/>
      <c r="AH321" s="1647">
        <v>0</v>
      </c>
    </row>
    <row s="1651" customFormat="1" customHeight="1" ht="18.75" hidden="1">
      <c r="A322" s="1796" t="s">
        <v>403</v>
      </c>
      <c r="B322" s="1796" t="s">
        <v>404</v>
      </c>
      <c r="C322" s="385"/>
      <c r="D322" s="2478"/>
      <c r="E322" s="2220"/>
      <c r="F322" s="2399" t="str">
        <f>INDEX(PT_DIFFERENTIATION_VTAR,MATCH(A322,PT_DIFFERENTIATION_VTAR_ID,0))</f>
        <v>Тариф на горячую воду (горячее водоснабжение)</v>
      </c>
      <c r="G322" s="2443" t="str">
        <f>INDEX(PT_DIFFERENTIATION_NTAR,MATCH(B322,PT_DIFFERENTIATION_NTAR_ID,0))</f>
        <v/>
      </c>
      <c r="H322" s="1878"/>
      <c r="I322" s="1755"/>
      <c r="J322" s="1789"/>
      <c r="K322" s="1794"/>
      <c r="L322" s="1878" t="s">
        <v>459</v>
      </c>
      <c r="M322" s="357"/>
      <c r="N322" s="350"/>
      <c r="O322" s="1640"/>
      <c r="P322" s="1640"/>
      <c r="AH322" s="1647">
        <v>0</v>
      </c>
    </row>
    <row s="1651" customFormat="1" customHeight="1" ht="18.75" hidden="1">
      <c r="A323" s="1796"/>
      <c r="B323" s="1796"/>
      <c r="C323" s="385" t="s">
        <v>1305</v>
      </c>
      <c r="D323" s="2478"/>
      <c r="E323" s="2220"/>
      <c r="F323" s="2399"/>
      <c r="G323" s="2443"/>
      <c r="H323" s="1516"/>
      <c r="I323" s="667" t="s">
        <v>1304</v>
      </c>
      <c r="J323" s="587"/>
      <c r="K323" s="1516"/>
      <c r="L323" s="230"/>
      <c r="M323" s="357"/>
      <c r="N323" s="350"/>
      <c r="O323" s="1640"/>
      <c r="P323" s="1640"/>
      <c r="AH323" s="1647">
        <v>0</v>
      </c>
    </row>
    <row s="1651" customFormat="1" customHeight="1" ht="0.75" hidden="1">
      <c r="A324" s="1796"/>
      <c r="B324" s="1796"/>
      <c r="C324" s="385" t="s">
        <v>1312</v>
      </c>
      <c r="D324" s="2478"/>
      <c r="E324" s="2220"/>
      <c r="F324" s="2399"/>
      <c r="G324" s="416"/>
      <c r="H324" s="1516"/>
      <c r="I324" s="667"/>
      <c r="J324" s="587"/>
      <c r="K324" s="1516"/>
      <c r="L324" s="230"/>
      <c r="M324" s="357"/>
      <c r="N324" s="350"/>
      <c r="O324" s="1640"/>
      <c r="P324" s="1640"/>
      <c r="AH324" s="1647">
        <v>0</v>
      </c>
    </row>
    <row s="1651" customFormat="1" customHeight="1" ht="18.75" hidden="1">
      <c r="A325" s="1796" t="s">
        <v>408</v>
      </c>
      <c r="B325" s="1796" t="s">
        <v>409</v>
      </c>
      <c r="C325" s="385"/>
      <c r="D325" s="2478"/>
      <c r="E325" s="2220"/>
      <c r="F325" s="2399" t="str">
        <f>INDEX(PT_DIFFERENTIATION_VTAR,MATCH(A325,PT_DIFFERENTIATION_VTAR_ID,0))</f>
        <v>Тариф на транспортировку горячей воды</v>
      </c>
      <c r="G325" s="2443" t="str">
        <f>INDEX(PT_DIFFERENTIATION_NTAR,MATCH(B325,PT_DIFFERENTIATION_NTAR_ID,0))</f>
        <v/>
      </c>
      <c r="H325" s="1878"/>
      <c r="I325" s="1755"/>
      <c r="J325" s="1789"/>
      <c r="K325" s="1794"/>
      <c r="L325" s="1878" t="s">
        <v>459</v>
      </c>
      <c r="M325" s="357"/>
      <c r="N325" s="350"/>
      <c r="O325" s="1640"/>
      <c r="P325" s="1640"/>
      <c r="AH325" s="1647">
        <v>0</v>
      </c>
    </row>
    <row s="1651" customFormat="1" customHeight="1" ht="18.75" hidden="1">
      <c r="A326" s="1796"/>
      <c r="B326" s="1796"/>
      <c r="C326" s="385" t="s">
        <v>1305</v>
      </c>
      <c r="D326" s="2478"/>
      <c r="E326" s="2220"/>
      <c r="F326" s="2399"/>
      <c r="G326" s="2443"/>
      <c r="H326" s="1516"/>
      <c r="I326" s="667" t="s">
        <v>1304</v>
      </c>
      <c r="J326" s="587"/>
      <c r="K326" s="1516"/>
      <c r="L326" s="230"/>
      <c r="M326" s="357"/>
      <c r="N326" s="350"/>
      <c r="O326" s="1640"/>
      <c r="P326" s="1640"/>
      <c r="AH326" s="1647">
        <v>0</v>
      </c>
    </row>
    <row s="1651" customFormat="1" customHeight="1" ht="0.75" hidden="1">
      <c r="A327" s="1796"/>
      <c r="B327" s="1796"/>
      <c r="C327" s="385" t="s">
        <v>1312</v>
      </c>
      <c r="D327" s="2478"/>
      <c r="E327" s="2220"/>
      <c r="F327" s="2399"/>
      <c r="G327" s="416"/>
      <c r="H327" s="1516"/>
      <c r="I327" s="667"/>
      <c r="J327" s="587"/>
      <c r="K327" s="1516"/>
      <c r="L327" s="230"/>
      <c r="M327" s="357"/>
      <c r="N327" s="350"/>
      <c r="O327" s="1640"/>
      <c r="P327" s="1640"/>
      <c r="AH327" s="1647">
        <v>0</v>
      </c>
    </row>
    <row s="1651" customFormat="1" customHeight="1" ht="18.75" hidden="1">
      <c r="A328" s="1796" t="s">
        <v>413</v>
      </c>
      <c r="B328" s="1796" t="s">
        <v>414</v>
      </c>
      <c r="C328" s="385"/>
      <c r="D328" s="2478"/>
      <c r="E328" s="2220"/>
      <c r="F328" s="2399"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43" t="str">
        <f>INDEX(PT_DIFFERENTIATION_NTAR,MATCH(B328,PT_DIFFERENTIATION_NTAR_ID,0))</f>
        <v/>
      </c>
      <c r="H328" s="1878"/>
      <c r="I328" s="1755"/>
      <c r="J328" s="1789"/>
      <c r="K328" s="1794"/>
      <c r="L328" s="1878" t="s">
        <v>459</v>
      </c>
      <c r="M328" s="357"/>
      <c r="N328" s="350"/>
      <c r="O328" s="1640"/>
      <c r="P328" s="1640"/>
      <c r="AH328" s="1647">
        <v>0</v>
      </c>
    </row>
    <row s="1651" customFormat="1" customHeight="1" ht="18.75" hidden="1">
      <c r="A329" s="1796"/>
      <c r="B329" s="1796"/>
      <c r="C329" s="385" t="s">
        <v>1305</v>
      </c>
      <c r="D329" s="2478"/>
      <c r="E329" s="2220"/>
      <c r="F329" s="2399"/>
      <c r="G329" s="2443"/>
      <c r="H329" s="1516"/>
      <c r="I329" s="667" t="s">
        <v>1304</v>
      </c>
      <c r="J329" s="587"/>
      <c r="K329" s="1516"/>
      <c r="L329" s="230"/>
      <c r="M329" s="357"/>
      <c r="N329" s="350"/>
      <c r="O329" s="1640"/>
      <c r="P329" s="1640"/>
      <c r="AH329" s="1647">
        <v>0</v>
      </c>
    </row>
    <row s="1651" customFormat="1" customHeight="1" ht="0.75" hidden="1">
      <c r="A330" s="1796"/>
      <c r="B330" s="1796"/>
      <c r="C330" s="385" t="s">
        <v>1312</v>
      </c>
      <c r="D330" s="2478"/>
      <c r="E330" s="2220"/>
      <c r="F330" s="2399"/>
      <c r="G330" s="416"/>
      <c r="H330" s="1516"/>
      <c r="I330" s="667"/>
      <c r="J330" s="587"/>
      <c r="K330" s="1516"/>
      <c r="L330" s="230"/>
      <c r="M330" s="357"/>
      <c r="N330" s="350"/>
      <c r="O330" s="1640"/>
      <c r="P330" s="1640"/>
      <c r="AH330" s="1647">
        <v>0</v>
      </c>
    </row>
    <row s="1651" customFormat="1" customHeight="1" ht="18.75" hidden="1">
      <c r="A331" s="1796" t="s">
        <v>418</v>
      </c>
      <c r="B331" s="1796" t="s">
        <v>419</v>
      </c>
      <c r="C331" s="385"/>
      <c r="D331" s="2478"/>
      <c r="E331" s="2220"/>
      <c r="F331" s="2399" t="str">
        <f>INDEX(PT_DIFFERENTIATION_VTAR,MATCH(A331,PT_DIFFERENTIATION_VTAR_ID,0))</f>
        <v>Тариф на водоотведение</v>
      </c>
      <c r="G331" s="2443" t="str">
        <f>INDEX(PT_DIFFERENTIATION_NTAR,MATCH(B331,PT_DIFFERENTIATION_NTAR_ID,0))</f>
        <v/>
      </c>
      <c r="H331" s="1878"/>
      <c r="I331" s="1755"/>
      <c r="J331" s="1789"/>
      <c r="K331" s="1794"/>
      <c r="L331" s="1878" t="s">
        <v>459</v>
      </c>
      <c r="M331" s="357"/>
      <c r="N331" s="350"/>
      <c r="O331" s="1640"/>
      <c r="P331" s="1640"/>
      <c r="AH331" s="1647">
        <v>0</v>
      </c>
    </row>
    <row s="1651" customFormat="1" customHeight="1" ht="18.75" hidden="1">
      <c r="A332" s="1796"/>
      <c r="B332" s="1796"/>
      <c r="C332" s="385" t="s">
        <v>1305</v>
      </c>
      <c r="D332" s="2478"/>
      <c r="E332" s="2220"/>
      <c r="F332" s="2399"/>
      <c r="G332" s="2443"/>
      <c r="H332" s="1516"/>
      <c r="I332" s="667" t="s">
        <v>1304</v>
      </c>
      <c r="J332" s="587"/>
      <c r="K332" s="1516"/>
      <c r="L332" s="230"/>
      <c r="M332" s="357"/>
      <c r="N332" s="350"/>
      <c r="O332" s="1640"/>
      <c r="P332" s="1640"/>
      <c r="AH332" s="1647">
        <v>0</v>
      </c>
    </row>
    <row s="1651" customFormat="1" customHeight="1" ht="0.75" hidden="1">
      <c r="A333" s="1796"/>
      <c r="B333" s="1796"/>
      <c r="C333" s="385" t="s">
        <v>1312</v>
      </c>
      <c r="D333" s="2478"/>
      <c r="E333" s="2220"/>
      <c r="F333" s="2399"/>
      <c r="G333" s="416"/>
      <c r="H333" s="1516"/>
      <c r="I333" s="667"/>
      <c r="J333" s="587"/>
      <c r="K333" s="1516"/>
      <c r="L333" s="230"/>
      <c r="M333" s="357"/>
      <c r="N333" s="350"/>
      <c r="O333" s="1640"/>
      <c r="P333" s="1640"/>
      <c r="AH333" s="1647">
        <v>0</v>
      </c>
    </row>
    <row s="1651" customFormat="1" customHeight="1" ht="18.75" hidden="1">
      <c r="A334" s="1796" t="s">
        <v>423</v>
      </c>
      <c r="B334" s="1796" t="s">
        <v>424</v>
      </c>
      <c r="C334" s="385"/>
      <c r="D334" s="2478"/>
      <c r="E334" s="2220"/>
      <c r="F334" s="2399" t="str">
        <f>INDEX(PT_DIFFERENTIATION_VTAR,MATCH(A334,PT_DIFFERENTIATION_VTAR_ID,0))</f>
        <v>Тариф на транспортировку сточных вод</v>
      </c>
      <c r="G334" s="2443" t="str">
        <f>INDEX(PT_DIFFERENTIATION_NTAR,MATCH(B334,PT_DIFFERENTIATION_NTAR_ID,0))</f>
        <v/>
      </c>
      <c r="H334" s="1878"/>
      <c r="I334" s="1755"/>
      <c r="J334" s="1789"/>
      <c r="K334" s="1794"/>
      <c r="L334" s="1878" t="s">
        <v>459</v>
      </c>
      <c r="M334" s="357"/>
      <c r="N334" s="350"/>
      <c r="O334" s="1640"/>
      <c r="P334" s="1640"/>
      <c r="AH334" s="1647">
        <v>0</v>
      </c>
    </row>
    <row s="1651" customFormat="1" customHeight="1" ht="18.75" hidden="1">
      <c r="A335" s="1796"/>
      <c r="B335" s="1796"/>
      <c r="C335" s="385" t="s">
        <v>1305</v>
      </c>
      <c r="D335" s="2478"/>
      <c r="E335" s="2220"/>
      <c r="F335" s="2399"/>
      <c r="G335" s="2443"/>
      <c r="H335" s="1516"/>
      <c r="I335" s="667" t="s">
        <v>1304</v>
      </c>
      <c r="J335" s="587"/>
      <c r="K335" s="1516"/>
      <c r="L335" s="230"/>
      <c r="M335" s="357"/>
      <c r="N335" s="350"/>
      <c r="O335" s="1640"/>
      <c r="P335" s="1640"/>
      <c r="AH335" s="1647">
        <v>0</v>
      </c>
    </row>
    <row s="1651" customFormat="1" customHeight="1" ht="0.75" hidden="1">
      <c r="A336" s="1796"/>
      <c r="B336" s="1796"/>
      <c r="C336" s="385" t="s">
        <v>1312</v>
      </c>
      <c r="D336" s="2478"/>
      <c r="E336" s="2220"/>
      <c r="F336" s="2399"/>
      <c r="G336" s="416"/>
      <c r="H336" s="1516"/>
      <c r="I336" s="667"/>
      <c r="J336" s="587"/>
      <c r="K336" s="1516"/>
      <c r="L336" s="230"/>
      <c r="M336" s="357"/>
      <c r="N336" s="350"/>
      <c r="O336" s="1640"/>
      <c r="P336" s="1640"/>
      <c r="AH336" s="1647">
        <v>0</v>
      </c>
    </row>
    <row s="1651" customFormat="1" customHeight="1" ht="18.75" hidden="1">
      <c r="A337" s="1796" t="s">
        <v>428</v>
      </c>
      <c r="B337" s="1796" t="s">
        <v>429</v>
      </c>
      <c r="C337" s="385"/>
      <c r="D337" s="2478"/>
      <c r="E337" s="2220"/>
      <c r="F337" s="2399" t="str">
        <f>INDEX(PT_DIFFERENTIATION_VTAR,MATCH(A337,PT_DIFFERENTIATION_VTAR_ID,0))</f>
        <v>Тариф на подключение (технологическое присоединение) к централизованной системе водоотведения</v>
      </c>
      <c r="G337" s="2443" t="str">
        <f>INDEX(PT_DIFFERENTIATION_NTAR,MATCH(B337,PT_DIFFERENTIATION_NTAR_ID,0))</f>
        <v/>
      </c>
      <c r="H337" s="1878"/>
      <c r="I337" s="1755"/>
      <c r="J337" s="1789"/>
      <c r="K337" s="1794"/>
      <c r="L337" s="1878" t="s">
        <v>459</v>
      </c>
      <c r="M337" s="357"/>
      <c r="N337" s="350"/>
      <c r="O337" s="1640"/>
      <c r="P337" s="1640"/>
      <c r="AH337" s="1647">
        <v>0</v>
      </c>
    </row>
    <row s="1651" customFormat="1" customHeight="1" ht="18.75" hidden="1">
      <c r="A338" s="1796"/>
      <c r="B338" s="1796"/>
      <c r="C338" s="385" t="s">
        <v>1305</v>
      </c>
      <c r="D338" s="2478"/>
      <c r="E338" s="2220"/>
      <c r="F338" s="2399"/>
      <c r="G338" s="2443"/>
      <c r="H338" s="1516"/>
      <c r="I338" s="667" t="s">
        <v>1304</v>
      </c>
      <c r="J338" s="587"/>
      <c r="K338" s="1516"/>
      <c r="L338" s="230"/>
      <c r="M338" s="357"/>
      <c r="N338" s="350"/>
      <c r="O338" s="1640"/>
      <c r="P338" s="1640"/>
      <c r="AH338" s="1647">
        <v>0</v>
      </c>
    </row>
    <row s="1651" customFormat="1" customHeight="1" ht="1.05">
      <c r="A339" s="1796"/>
      <c r="B339" s="1796"/>
      <c r="C339" s="385" t="s">
        <v>1312</v>
      </c>
      <c r="D339" s="2478"/>
      <c r="E339" s="2220"/>
      <c r="F339" s="2399"/>
      <c r="G339" s="416"/>
      <c r="H339" s="1516"/>
      <c r="I339" s="667"/>
      <c r="J339" s="587"/>
      <c r="K339" s="1516"/>
      <c r="L339" s="230"/>
      <c r="M339" s="357"/>
      <c r="N339" s="350"/>
      <c r="O339" s="1640"/>
      <c r="P339" s="1640"/>
      <c r="AH339" s="1647">
        <v>1</v>
      </c>
    </row>
    <row s="1839" customFormat="1" customHeight="1" ht="3">
      <c r="A340" s="1796"/>
      <c r="B340" s="1796"/>
      <c r="C340" s="1797"/>
      <c r="E340" s="418"/>
      <c r="F340" s="418"/>
      <c r="G340" s="418"/>
      <c r="H340" s="418"/>
      <c r="I340" s="418"/>
      <c r="J340" s="418"/>
      <c r="K340" s="418"/>
      <c r="L340" s="418"/>
      <c r="M340" s="418"/>
      <c r="O340" s="212"/>
      <c r="P340" s="212"/>
      <c r="AH340" s="156">
        <v>3</v>
      </c>
    </row>
    <row customHeight="1" ht="26.25">
      <c r="E341" s="218"/>
      <c r="F341" s="2301"/>
      <c r="G341" s="2301"/>
      <c r="H341" s="2301"/>
      <c r="I341" s="2301"/>
      <c r="J341" s="2301"/>
      <c r="K341" s="2301"/>
      <c r="L341" s="2301"/>
      <c r="M341" s="2301"/>
      <c r="AH341" s="390">
        <v>25</v>
      </c>
    </row>
    <row customHeight="1" ht="14.25" hidden="1">
      <c r="A342" s="1795" t="s">
        <v>85</v>
      </c>
      <c r="B342" s="1795">
        <v>0</v>
      </c>
      <c r="C342" s="385">
        <v>0</v>
      </c>
      <c r="D342" s="360">
        <v>3</v>
      </c>
      <c r="E342" s="390">
        <v>6</v>
      </c>
      <c r="F342" s="390">
        <v>46</v>
      </c>
      <c r="G342" s="390">
        <v>35</v>
      </c>
      <c r="H342" s="390">
        <v>3</v>
      </c>
      <c r="I342" s="390">
        <v>11</v>
      </c>
      <c r="J342" s="390">
        <v>11</v>
      </c>
      <c r="K342" s="390">
        <v>35</v>
      </c>
      <c r="L342" s="390">
        <v>35</v>
      </c>
      <c r="M342" s="390">
        <v>84</v>
      </c>
      <c r="N342" s="390">
        <v>10</v>
      </c>
      <c r="O342" s="366">
        <v>10</v>
      </c>
      <c r="P342" s="366">
        <v>10</v>
      </c>
      <c r="Q342" s="390">
        <v>10</v>
      </c>
      <c r="R342" s="390">
        <v>10</v>
      </c>
      <c r="S342" s="390">
        <v>10</v>
      </c>
      <c r="T342" s="390">
        <v>10</v>
      </c>
      <c r="U342" s="390">
        <v>10</v>
      </c>
      <c r="V342" s="390">
        <v>10</v>
      </c>
      <c r="W342" s="390">
        <v>10</v>
      </c>
      <c r="X342" s="390">
        <v>10</v>
      </c>
      <c r="Y342" s="390">
        <v>10</v>
      </c>
      <c r="Z342" s="390">
        <v>10</v>
      </c>
      <c r="AA342" s="390">
        <v>10</v>
      </c>
      <c r="AB342" s="390">
        <v>10</v>
      </c>
      <c r="AC342" s="390">
        <v>10</v>
      </c>
      <c r="AD342" s="390">
        <v>10</v>
      </c>
      <c r="AE342" s="390">
        <v>10</v>
      </c>
      <c r="AF342" s="390">
        <v>10</v>
      </c>
      <c r="AG342" s="390">
        <v>10</v>
      </c>
      <c r="AH342" s="390">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961A9-A5B7-4676-14DC-521F7F3A8CC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3" width="9.140625" hidden="1" customWidth="1"/>
    <col min="2" max="2" style="1382" width="9.140625" hidden="1" customWidth="1"/>
    <col min="3" max="3" style="360" width="3.00390625" customWidth="1"/>
    <col min="4" max="4" style="1651" width="6.00390625" customWidth="1"/>
    <col min="5" max="5" style="1651" width="53.00390625" customWidth="1"/>
    <col min="6" max="7" style="1651" width="35.00390625" customWidth="1"/>
    <col min="8" max="8" style="1651" width="89.00390625" customWidth="1"/>
    <col min="9" max="9" style="1651" width="10.00390625" customWidth="1"/>
    <col min="10" max="11" style="1640" width="10.00390625" customWidth="1"/>
    <col min="12" max="17" style="1651" width="10.00390625" customWidth="1"/>
    <col min="18" max="18" style="1651" width="10.57421875" hidden="1"/>
  </cols>
  <sheetData>
    <row customHeight="1" ht="22.5" hidden="1">
      <c r="N1" s="271"/>
      <c r="O1" s="271"/>
      <c r="Q1" s="271"/>
      <c r="R1" s="390" t="s">
        <v>14</v>
      </c>
    </row>
    <row s="1651" customFormat="1" customHeight="1" ht="18.75" hidden="1">
      <c r="A2" s="118"/>
      <c r="B2" s="1176"/>
      <c r="C2" s="1746" t="s">
        <v>108</v>
      </c>
      <c r="D2" s="1689"/>
      <c r="E2" s="1698"/>
      <c r="F2" s="273"/>
      <c r="G2" s="1177"/>
      <c r="H2" s="390"/>
      <c r="I2" s="1640"/>
      <c r="J2" s="1640"/>
      <c r="R2" s="1647">
        <v>0</v>
      </c>
    </row>
    <row customHeight="1" ht="14.25" hidden="1">
      <c r="R3" s="390">
        <v>0</v>
      </c>
    </row>
    <row customHeight="1" ht="6.3">
      <c r="C4" s="392"/>
      <c r="D4" s="379"/>
      <c r="E4" s="379"/>
      <c r="F4" s="379"/>
      <c r="G4" s="101"/>
      <c r="H4" s="101"/>
      <c r="R4" s="390">
        <v>6</v>
      </c>
    </row>
    <row customHeight="1" ht="34.5">
      <c r="C5" s="392"/>
      <c r="D5" s="247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1"/>
      <c r="F5" s="2471"/>
      <c r="G5" s="2472"/>
      <c r="H5" s="282"/>
      <c r="R5" s="390">
        <v>33</v>
      </c>
    </row>
    <row s="1651" customFormat="1" customHeight="1" ht="18">
      <c r="A6" s="1685"/>
      <c r="B6" s="1176"/>
      <c r="C6" s="392"/>
      <c r="D6" s="2473" t="str">
        <f>IF(org=0,"Не определено",org)</f>
        <v>КГУП "Примтеплоэнерго"</v>
      </c>
      <c r="E6" s="2474"/>
      <c r="F6" s="2474"/>
      <c r="G6" s="2475"/>
      <c r="H6" s="282"/>
      <c r="J6" s="1640"/>
      <c r="K6" s="1640"/>
      <c r="R6" s="1647">
        <v>17</v>
      </c>
    </row>
    <row customHeight="1" ht="14.699999999999998">
      <c r="C7" s="392"/>
      <c r="D7" s="379"/>
      <c r="E7" s="405"/>
      <c r="F7" s="405"/>
      <c r="G7" s="768"/>
      <c r="H7" s="209"/>
      <c r="R7" s="390">
        <v>14</v>
      </c>
    </row>
    <row customHeight="1" ht="14.699999999999998">
      <c r="C8" s="392"/>
      <c r="D8" s="2225" t="s">
        <v>453</v>
      </c>
      <c r="E8" s="2225"/>
      <c r="F8" s="2225"/>
      <c r="G8" s="2225"/>
      <c r="H8" s="2405" t="s">
        <v>454</v>
      </c>
      <c r="R8" s="390">
        <v>14</v>
      </c>
    </row>
    <row customHeight="1" ht="24">
      <c r="C9" s="392"/>
      <c r="D9" s="402" t="s">
        <v>91</v>
      </c>
      <c r="E9" s="124" t="s">
        <v>455</v>
      </c>
      <c r="F9" s="124" t="s">
        <v>456</v>
      </c>
      <c r="G9" s="124" t="s">
        <v>543</v>
      </c>
      <c r="H9" s="2405"/>
      <c r="R9" s="390">
        <v>23</v>
      </c>
    </row>
    <row customHeight="1" ht="14.699999999999998">
      <c r="A10" s="359"/>
      <c r="C10" s="392"/>
      <c r="D10" s="163" t="s">
        <v>141</v>
      </c>
      <c r="E10" s="19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3"/>
      <c r="G10" s="229"/>
      <c r="H10" s="2185" t="s">
        <v>1313</v>
      </c>
      <c r="R10" s="390">
        <v>14</v>
      </c>
    </row>
    <row customHeight="1" ht="14.699999999999998">
      <c r="A11" s="359"/>
      <c r="C11" s="392"/>
      <c r="D11" s="163" t="s">
        <v>107</v>
      </c>
      <c r="E11" s="19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3"/>
      <c r="G11" s="229"/>
      <c r="H11" s="2186"/>
      <c r="R11" s="390">
        <v>14</v>
      </c>
    </row>
    <row customHeight="1" ht="14.699999999999998">
      <c r="A12" s="118"/>
      <c r="C12" s="403"/>
      <c r="D12" s="163" t="s">
        <v>93</v>
      </c>
      <c r="E12" s="404" t="str">
        <f>"Сведения о планировании закупочных процедур"&amp;IF(TEMPLATE_SPHERE="TKO"," &lt;1&gt;","")</f>
        <v>Сведения о планировании закупочных процедур</v>
      </c>
      <c r="F12" s="273"/>
      <c r="G12" s="229"/>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6"/>
      <c r="K12" s="390"/>
      <c r="R12" s="390">
        <v>14</v>
      </c>
    </row>
    <row customHeight="1" ht="14.699999999999998">
      <c r="A13" s="118"/>
      <c r="C13" s="403"/>
      <c r="D13" s="163" t="s">
        <v>94</v>
      </c>
      <c r="E13" s="404" t="str">
        <f>"Сведения о результатах проведения закупочных процедур"&amp;IF(TEMPLATE_SPHERE="TKO"," &lt;1&gt;","")</f>
        <v>Сведения о результатах проведения закупочных процедур</v>
      </c>
      <c r="F13" s="273"/>
      <c r="G13" s="229"/>
      <c r="H13" s="2186"/>
      <c r="I13" s="366"/>
      <c r="K13" s="390"/>
      <c r="R13" s="390">
        <v>14</v>
      </c>
    </row>
    <row customHeight="1" ht="14.699999999999998">
      <c r="A14" s="359"/>
      <c r="C14" s="392"/>
      <c r="D14" s="363"/>
      <c r="E14" s="411" t="s">
        <v>475</v>
      </c>
      <c r="F14" s="365"/>
      <c r="G14" s="217"/>
      <c r="H14" s="2187"/>
      <c r="R14" s="390">
        <v>14</v>
      </c>
    </row>
    <row s="1651" customFormat="1" customHeight="1" ht="14.699999999999998">
      <c r="A15" s="359"/>
      <c r="B15" s="1176"/>
      <c r="C15" s="392"/>
      <c r="D15" s="412"/>
      <c r="E15" s="1693"/>
      <c r="F15" s="1694"/>
      <c r="G15" s="1695"/>
      <c r="H15" s="1696"/>
      <c r="J15" s="1640"/>
      <c r="K15" s="1640"/>
      <c r="R15" s="1647">
        <v>14</v>
      </c>
    </row>
    <row customHeight="1" ht="14.699999999999998">
      <c r="D16" s="1697"/>
      <c r="E16" s="2401"/>
      <c r="F16" s="2401"/>
      <c r="G16" s="2401"/>
      <c r="H16" s="2401"/>
      <c r="R16" s="390">
        <v>14</v>
      </c>
    </row>
    <row customHeight="1" ht="22.5" hidden="1">
      <c r="A17" s="380" t="s">
        <v>85</v>
      </c>
      <c r="B17" s="162">
        <v>0</v>
      </c>
      <c r="C17" s="360">
        <v>3</v>
      </c>
      <c r="D17" s="390">
        <v>6</v>
      </c>
      <c r="E17" s="390">
        <v>53</v>
      </c>
      <c r="F17" s="390">
        <v>35</v>
      </c>
      <c r="G17" s="390">
        <v>35</v>
      </c>
      <c r="H17" s="390">
        <v>89</v>
      </c>
      <c r="I17" s="390">
        <v>10</v>
      </c>
      <c r="J17" s="366">
        <v>10</v>
      </c>
      <c r="K17" s="366">
        <v>10</v>
      </c>
      <c r="L17" s="390">
        <v>10</v>
      </c>
      <c r="M17" s="390">
        <v>10</v>
      </c>
      <c r="N17" s="390">
        <v>10</v>
      </c>
      <c r="O17" s="390">
        <v>10</v>
      </c>
      <c r="P17" s="390">
        <v>10</v>
      </c>
      <c r="Q17" s="390">
        <v>10</v>
      </c>
      <c r="R17" s="39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51CE5-2DC5-0667-B5AE-80C72EFEC70F}" mc:Ignorable="x14ac xr xr2 xr3">
  <sheetPr>
    <tabColor rgb="FFCCCCFF"/>
  </sheetPr>
  <dimension ref="A1:AR215"/>
  <sheetViews>
    <sheetView showGridLines="0" zoomScale="90" workbookViewId="0">
      <pane xSplit="6" ySplit="12" topLeftCell="H107" activePane="bottomRight" state="frozen"/>
      <selection pane="bottomLeft" activeCell="A13" sqref="A13"/>
      <selection pane="topRight" activeCell="G1" sqref="G1"/>
      <selection pane="bottomRight" activeCell="S122" sqref="S122:S123"/>
    </sheetView>
  </sheetViews>
  <sheetFormatPr defaultColWidth="9.140625" customHeight="1" defaultRowHeight="11.25"/>
  <cols>
    <col min="1" max="2" style="1640" width="3.7109375" hidden="1" customWidth="1"/>
    <col min="3" max="3" style="1869" width="3.00390625" customWidth="1"/>
    <col min="4" max="4" style="1869" width="6.00390625" customWidth="1"/>
    <col min="5" max="5" style="1869" width="42.00390625" customWidth="1"/>
    <col min="6" max="6" style="1869" width="15.00390625" customWidth="1"/>
    <col min="7" max="7" style="1869" width="42.00390625" customWidth="1"/>
    <col min="8" max="8" style="1869" width="3.00390625" customWidth="1"/>
    <col min="9" max="9" style="1869" width="5.00390625" customWidth="1"/>
    <col min="10" max="10" style="1869" width="47.00390625" customWidth="1"/>
    <col min="11" max="12" style="1869" width="3.00390625" customWidth="1"/>
    <col min="13" max="13" style="1869" width="5.00390625" customWidth="1"/>
    <col min="14" max="14" style="1869" width="28.00390625" customWidth="1"/>
    <col min="15" max="16" style="1869" width="3.00390625" customWidth="1"/>
    <col min="17" max="17" style="1869" width="5.00390625" customWidth="1"/>
    <col min="18" max="18" style="1869" width="34.00390625" customWidth="1"/>
    <col min="19" max="20" style="1869" width="3.7109375" customWidth="1"/>
    <col min="21" max="21" style="1869" width="5.7109375" customWidth="1"/>
    <col min="22" max="22" style="1869" width="34.421875" customWidth="1"/>
    <col min="23" max="23" style="1869" width="30.00390625" customWidth="1"/>
    <col min="24" max="24" style="1869" width="3.0039062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24.42187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69" width="9.140625" hidden="1"/>
  </cols>
  <sheetData>
    <row customHeight="1" ht="11.25" hidden="1">
      <c r="A1" s="172"/>
      <c r="AR1" s="120" t="s">
        <v>14</v>
      </c>
    </row>
    <row customHeight="1" ht="11.25" hidden="1">
      <c r="AR2" s="120">
        <v>0</v>
      </c>
    </row>
    <row customHeight="1" ht="11.25" hidden="1">
      <c r="AR3" s="120">
        <v>0</v>
      </c>
    </row>
    <row customHeight="1" ht="3">
      <c r="AR4" s="120">
        <v>3</v>
      </c>
    </row>
    <row s="605" customFormat="1" customHeight="1" ht="30.45">
      <c r="A5" s="170"/>
      <c r="B5" s="170"/>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4"/>
      <c r="F5" s="2174"/>
      <c r="G5" s="2174"/>
      <c r="H5" s="2174"/>
      <c r="I5" s="2174"/>
      <c r="J5" s="2175"/>
      <c r="K5" s="281"/>
      <c r="L5" s="158"/>
      <c r="M5" s="158"/>
      <c r="N5" s="158"/>
      <c r="O5" s="158"/>
      <c r="P5" s="158"/>
      <c r="Q5" s="158"/>
      <c r="R5" s="158"/>
      <c r="S5" s="306"/>
      <c r="T5" s="306"/>
      <c r="U5" s="306"/>
      <c r="V5" s="306"/>
      <c r="W5" s="158"/>
      <c r="Y5" s="1276"/>
      <c r="Z5" s="1276"/>
      <c r="AA5" s="1276"/>
      <c r="AB5" s="1276"/>
      <c r="AC5" s="1276"/>
      <c r="AD5" s="1276"/>
      <c r="AE5" s="1276"/>
      <c r="AF5" s="1276"/>
      <c r="AG5" s="1276"/>
      <c r="AH5" s="1276"/>
      <c r="AI5" s="1276"/>
      <c r="AJ5" s="1276"/>
      <c r="AK5" s="1276"/>
      <c r="AL5" s="1276"/>
      <c r="AM5" s="1276"/>
      <c r="AN5" s="1276"/>
      <c r="AO5" s="1276"/>
      <c r="AP5" s="1276"/>
      <c r="AQ5" s="1276"/>
      <c r="AR5" s="127">
        <v>29</v>
      </c>
    </row>
    <row s="605" customFormat="1" customHeight="1" ht="14.699999999999998">
      <c r="A6" s="601"/>
      <c r="B6" s="601"/>
      <c r="C6" s="601"/>
      <c r="D6" s="2179" t="str">
        <f>IF(org=0,"Не определено",org)</f>
        <v>КГУП "Примтеплоэнерго"</v>
      </c>
      <c r="E6" s="2179"/>
      <c r="F6" s="2179"/>
      <c r="G6" s="2179"/>
      <c r="H6" s="2179"/>
      <c r="I6" s="2179"/>
      <c r="J6" s="2179"/>
      <c r="K6" s="602"/>
      <c r="L6" s="602"/>
      <c r="M6" s="602"/>
      <c r="N6" s="602"/>
      <c r="O6" s="886"/>
      <c r="P6" s="886"/>
      <c r="Q6" s="886"/>
      <c r="R6" s="886"/>
      <c r="S6" s="886"/>
      <c r="T6" s="886"/>
      <c r="U6" s="886"/>
      <c r="V6" s="886"/>
      <c r="W6" s="886"/>
      <c r="X6" s="602"/>
      <c r="Y6" s="1277"/>
      <c r="Z6" s="1277"/>
      <c r="AA6" s="1277"/>
      <c r="AB6" s="1277"/>
      <c r="AC6" s="1277"/>
      <c r="AD6" s="1277"/>
      <c r="AE6" s="1277"/>
      <c r="AF6" s="1277"/>
      <c r="AG6" s="1277"/>
      <c r="AH6" s="1277"/>
      <c r="AI6" s="1277"/>
      <c r="AJ6" s="1277"/>
      <c r="AK6" s="1277"/>
      <c r="AL6" s="1277"/>
      <c r="AM6" s="1277"/>
      <c r="AN6" s="1277"/>
      <c r="AO6" s="1277"/>
      <c r="AP6" s="1277"/>
      <c r="AQ6" s="1277"/>
      <c r="AR6" s="603">
        <v>14</v>
      </c>
    </row>
    <row s="315" customFormat="1" customHeight="1" ht="11.549999999999999">
      <c r="A7" s="227"/>
      <c r="B7" s="227"/>
      <c r="D7" s="2176"/>
      <c r="E7" s="2177"/>
      <c r="F7" s="2177"/>
      <c r="G7" s="2177"/>
      <c r="H7" s="2177"/>
      <c r="I7" s="2177"/>
      <c r="J7" s="2178"/>
      <c r="S7" s="315"/>
      <c r="T7" s="315"/>
      <c r="U7" s="315"/>
      <c r="V7" s="315"/>
      <c r="Y7" s="1278"/>
      <c r="Z7" s="1278"/>
      <c r="AA7" s="1278"/>
      <c r="AB7" s="1278"/>
      <c r="AC7" s="1278"/>
      <c r="AD7" s="1278"/>
      <c r="AE7" s="1278"/>
      <c r="AF7" s="1278"/>
      <c r="AG7" s="1278"/>
      <c r="AH7" s="1278"/>
      <c r="AI7" s="1278"/>
      <c r="AJ7" s="1278"/>
      <c r="AK7" s="1278"/>
      <c r="AL7" s="1278"/>
      <c r="AM7" s="1278"/>
      <c r="AN7" s="1278"/>
      <c r="AO7" s="1278"/>
      <c r="AP7" s="1278"/>
      <c r="AQ7" s="1278"/>
      <c r="AR7" s="292">
        <v>11</v>
      </c>
    </row>
    <row s="605" customFormat="1" customHeight="1" ht="1.05">
      <c r="A8" s="170"/>
      <c r="B8" s="170"/>
      <c r="D8" s="228"/>
      <c r="E8" s="228"/>
      <c r="F8" s="228"/>
      <c r="G8" s="228"/>
      <c r="H8" s="228"/>
      <c r="I8" s="228"/>
      <c r="J8" s="228"/>
      <c r="K8" s="228"/>
      <c r="L8" s="228"/>
      <c r="M8" s="228"/>
      <c r="N8" s="228"/>
      <c r="O8" s="228"/>
      <c r="P8" s="228"/>
      <c r="Q8" s="228"/>
      <c r="R8" s="228"/>
      <c r="S8" s="228"/>
      <c r="T8" s="228"/>
      <c r="U8" s="228"/>
      <c r="V8" s="228"/>
      <c r="W8" s="228"/>
      <c r="X8" s="148"/>
      <c r="Y8" s="1276"/>
      <c r="Z8" s="1276"/>
      <c r="AA8" s="1276"/>
      <c r="AB8" s="1276"/>
      <c r="AC8" s="1276"/>
      <c r="AD8" s="1276"/>
      <c r="AE8" s="1276"/>
      <c r="AF8" s="1276"/>
      <c r="AG8" s="1276"/>
      <c r="AH8" s="1276"/>
      <c r="AI8" s="1276"/>
      <c r="AJ8" s="1276"/>
      <c r="AK8" s="1276"/>
      <c r="AL8" s="1276"/>
      <c r="AM8" s="1276"/>
      <c r="AN8" s="1276"/>
      <c r="AO8" s="1276"/>
      <c r="AP8" s="1276"/>
      <c r="AQ8" s="1276"/>
      <c r="AR8" s="127">
        <v>1</v>
      </c>
    </row>
    <row customHeight="1" ht="28.5">
      <c r="D9" s="2143" t="s">
        <v>91</v>
      </c>
      <c r="E9" s="2117" t="s">
        <v>191</v>
      </c>
      <c r="F9" s="2119"/>
      <c r="G9" s="2143" t="s">
        <v>178</v>
      </c>
      <c r="H9" s="2143" t="s">
        <v>91</v>
      </c>
      <c r="I9" s="2143"/>
      <c r="J9" s="2143" t="s">
        <v>192</v>
      </c>
      <c r="K9" s="2171" t="s">
        <v>193</v>
      </c>
      <c r="L9" s="2171"/>
      <c r="M9" s="2171"/>
      <c r="N9" s="2171"/>
      <c r="O9" s="2171" t="s">
        <v>194</v>
      </c>
      <c r="P9" s="2171"/>
      <c r="Q9" s="2171"/>
      <c r="R9" s="2171"/>
      <c r="S9" s="2171" t="s">
        <v>195</v>
      </c>
      <c r="T9" s="2171"/>
      <c r="U9" s="2171"/>
      <c r="V9" s="2171"/>
      <c r="W9" s="2143" t="s">
        <v>196</v>
      </c>
      <c r="AR9" s="120">
        <v>27</v>
      </c>
    </row>
    <row customHeight="1" ht="31.5">
      <c r="D10" s="2143"/>
      <c r="E10" s="1300" t="s">
        <v>92</v>
      </c>
      <c r="F10" s="1300" t="s">
        <v>197</v>
      </c>
      <c r="G10" s="2143"/>
      <c r="H10" s="2143"/>
      <c r="I10" s="2143"/>
      <c r="J10" s="2143"/>
      <c r="K10" s="126" t="s">
        <v>181</v>
      </c>
      <c r="L10" s="2143" t="s">
        <v>91</v>
      </c>
      <c r="M10" s="2143"/>
      <c r="N10" s="126" t="s">
        <v>198</v>
      </c>
      <c r="O10" s="126" t="s">
        <v>181</v>
      </c>
      <c r="P10" s="2143" t="s">
        <v>91</v>
      </c>
      <c r="Q10" s="2143"/>
      <c r="R10" s="126" t="s">
        <v>198</v>
      </c>
      <c r="S10" s="299" t="s">
        <v>181</v>
      </c>
      <c r="T10" s="2143" t="s">
        <v>91</v>
      </c>
      <c r="U10" s="2143"/>
      <c r="V10" s="299" t="s">
        <v>92</v>
      </c>
      <c r="W10" s="2143"/>
      <c r="Z10" s="1275" t="s">
        <v>199</v>
      </c>
      <c r="AA10" s="1275" t="s">
        <v>200</v>
      </c>
      <c r="AB10" s="1275" t="s">
        <v>201</v>
      </c>
      <c r="AC10" s="1275" t="s">
        <v>202</v>
      </c>
      <c r="AD10" s="1275" t="s">
        <v>203</v>
      </c>
      <c r="AE10" s="1275" t="s">
        <v>204</v>
      </c>
      <c r="AF10" s="1275" t="s">
        <v>205</v>
      </c>
      <c r="AG10" s="1275" t="s">
        <v>206</v>
      </c>
      <c r="AH10" s="1275" t="s">
        <v>207</v>
      </c>
      <c r="AI10" s="1275" t="s">
        <v>208</v>
      </c>
      <c r="AJ10" s="1275" t="s">
        <v>209</v>
      </c>
      <c r="AK10" s="1275" t="s">
        <v>210</v>
      </c>
      <c r="AL10" s="1275" t="s">
        <v>211</v>
      </c>
      <c r="AM10" s="1275" t="s">
        <v>212</v>
      </c>
      <c r="AN10" s="1275" t="s">
        <v>213</v>
      </c>
      <c r="AO10" s="1275" t="s">
        <v>214</v>
      </c>
      <c r="AP10" s="1275" t="s">
        <v>215</v>
      </c>
      <c r="AQ10" s="1275" t="s">
        <v>216</v>
      </c>
      <c r="AR10" s="120">
        <v>30</v>
      </c>
    </row>
    <row s="1640" customFormat="1" customHeight="1" ht="12" hidden="1">
      <c r="D11" s="1265" t="s">
        <v>141</v>
      </c>
      <c r="E11" s="1265" t="s">
        <v>107</v>
      </c>
      <c r="F11" s="1265"/>
      <c r="G11" s="1265" t="s">
        <v>93</v>
      </c>
      <c r="H11" s="2172" t="s">
        <v>122</v>
      </c>
      <c r="I11" s="2172"/>
      <c r="J11" s="1265" t="s">
        <v>95</v>
      </c>
      <c r="K11" s="1265" t="s">
        <v>96</v>
      </c>
      <c r="L11" s="2172" t="s">
        <v>134</v>
      </c>
      <c r="M11" s="2172"/>
      <c r="N11" s="1265" t="s">
        <v>139</v>
      </c>
      <c r="O11" s="1265" t="s">
        <v>144</v>
      </c>
      <c r="P11" s="2172" t="s">
        <v>150</v>
      </c>
      <c r="Q11" s="2172"/>
      <c r="R11" s="1265" t="s">
        <v>152</v>
      </c>
      <c r="S11" s="1265" t="s">
        <v>150</v>
      </c>
      <c r="T11" s="2172" t="s">
        <v>152</v>
      </c>
      <c r="U11" s="2172"/>
      <c r="V11" s="1265" t="s">
        <v>158</v>
      </c>
      <c r="W11" s="1265" t="s">
        <v>162</v>
      </c>
      <c r="Y11" s="1275"/>
      <c r="Z11" s="1275"/>
      <c r="AA11" s="1275"/>
      <c r="AB11" s="1275"/>
      <c r="AC11" s="1275"/>
      <c r="AD11" s="1275"/>
      <c r="AE11" s="1275"/>
      <c r="AF11" s="1275"/>
      <c r="AG11" s="1275"/>
      <c r="AH11" s="1275"/>
      <c r="AI11" s="1275"/>
      <c r="AJ11" s="1275"/>
      <c r="AK11" s="1275"/>
      <c r="AL11" s="1275"/>
      <c r="AM11" s="1275"/>
      <c r="AN11" s="1275"/>
      <c r="AO11" s="1275"/>
      <c r="AP11" s="1275"/>
      <c r="AQ11" s="1275"/>
      <c r="AR11" s="293">
        <v>0</v>
      </c>
    </row>
    <row customHeight="1" ht="14.25" hidden="1">
      <c r="C12" s="225"/>
      <c r="D12" s="1298">
        <v>0</v>
      </c>
      <c r="E12" s="266"/>
      <c r="F12" s="266"/>
      <c r="G12" s="266"/>
      <c r="H12" s="267"/>
      <c r="I12" s="267"/>
      <c r="J12" s="174"/>
      <c r="K12" s="128"/>
      <c r="L12" s="174"/>
      <c r="M12" s="174"/>
      <c r="N12" s="268"/>
      <c r="O12" s="128"/>
      <c r="P12" s="174"/>
      <c r="Q12" s="174"/>
      <c r="R12" s="269"/>
      <c r="S12" s="300"/>
      <c r="T12" s="308"/>
      <c r="U12" s="308"/>
      <c r="V12" s="312"/>
      <c r="W12" s="128"/>
      <c r="X12" s="157"/>
      <c r="AR12" s="120">
        <v>0</v>
      </c>
    </row>
    <row s="1869" customFormat="1" customHeight="1" ht="17.25">
      <c r="A13" s="337"/>
      <c r="C13" s="225"/>
      <c r="D13" s="2151">
        <v>1</v>
      </c>
      <c r="E13" s="2159" t="s">
        <v>217</v>
      </c>
      <c r="F13" s="2161" t="s">
        <v>19</v>
      </c>
      <c r="G13" s="2159"/>
      <c r="H13" s="2164"/>
      <c r="I13" s="2166"/>
      <c r="J13" s="2168"/>
      <c r="K13" s="2153"/>
      <c r="L13" s="2153"/>
      <c r="M13" s="2153"/>
      <c r="N13" s="2155"/>
      <c r="O13" s="2153"/>
      <c r="P13" s="2153"/>
      <c r="Q13" s="2153"/>
      <c r="R13" s="2158"/>
      <c r="S13" s="2153"/>
      <c r="T13" s="1436"/>
      <c r="U13" s="1436"/>
      <c r="V13" s="1435"/>
      <c r="W13" s="1312"/>
      <c r="Y13" s="1283"/>
      <c r="Z13" s="1283"/>
      <c r="AA13" s="1283"/>
      <c r="AB13" s="1283"/>
      <c r="AC13" s="1283" t="s">
        <v>218</v>
      </c>
      <c r="AD13" s="1283" t="s">
        <v>219</v>
      </c>
      <c r="AE13" s="1283" t="s">
        <v>220</v>
      </c>
      <c r="AF13" s="1283" t="s">
        <v>221</v>
      </c>
      <c r="AG13" s="1283" t="s">
        <v>222</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c r="AR13" s="766">
        <v>0</v>
      </c>
    </row>
    <row s="1869" customFormat="1" customHeight="1" ht="17.25">
      <c r="A14" s="337"/>
      <c r="C14" s="336"/>
      <c r="D14" s="2151"/>
      <c r="E14" s="2159"/>
      <c r="F14" s="2162"/>
      <c r="G14" s="2159"/>
      <c r="H14" s="2165"/>
      <c r="I14" s="2167"/>
      <c r="J14" s="2169"/>
      <c r="K14" s="2154"/>
      <c r="L14" s="2154"/>
      <c r="M14" s="2154"/>
      <c r="N14" s="2156"/>
      <c r="O14" s="2154"/>
      <c r="P14" s="2154"/>
      <c r="Q14" s="2154"/>
      <c r="R14" s="2157"/>
      <c r="S14" s="2154"/>
      <c r="T14" s="1313"/>
      <c r="U14" s="1313"/>
      <c r="V14" s="1313"/>
      <c r="W14" s="1314"/>
      <c r="Y14" s="1275"/>
      <c r="Z14" s="1275"/>
      <c r="AA14" s="1275"/>
      <c r="AB14" s="1275"/>
      <c r="AC14" s="1275"/>
      <c r="AD14" s="1275"/>
      <c r="AE14" s="1275"/>
      <c r="AF14" s="1275"/>
      <c r="AG14" s="1275"/>
      <c r="AH14" s="1275"/>
      <c r="AI14" s="1275"/>
      <c r="AJ14" s="1275"/>
      <c r="AK14" s="1275"/>
      <c r="AL14" s="1275"/>
      <c r="AM14" s="1275"/>
      <c r="AN14" s="1275"/>
      <c r="AO14" s="1275"/>
      <c r="AP14" s="1275"/>
      <c r="AQ14" s="1275"/>
      <c r="AR14" s="766">
        <v>0</v>
      </c>
    </row>
    <row s="1869" customFormat="1" customHeight="1" ht="17.25">
      <c r="A15" s="337"/>
      <c r="C15" s="225"/>
      <c r="D15" s="2151"/>
      <c r="E15" s="2159"/>
      <c r="F15" s="2162"/>
      <c r="G15" s="2159"/>
      <c r="H15" s="2165"/>
      <c r="I15" s="2167"/>
      <c r="J15" s="2170"/>
      <c r="K15" s="2154"/>
      <c r="L15" s="2154"/>
      <c r="M15" s="2154"/>
      <c r="N15" s="2157"/>
      <c r="O15" s="2154"/>
      <c r="P15" s="1434"/>
      <c r="Q15" s="1313"/>
      <c r="R15" s="1313"/>
      <c r="S15" s="345"/>
      <c r="T15" s="345"/>
      <c r="U15" s="345"/>
      <c r="V15" s="345"/>
      <c r="W15" s="1314"/>
      <c r="Y15" s="1283"/>
      <c r="Z15" s="1283"/>
      <c r="AA15" s="1283"/>
      <c r="AB15" s="1283"/>
      <c r="AC15" s="1283"/>
      <c r="AD15" s="1283"/>
      <c r="AE15" s="1283"/>
      <c r="AF15" s="1283"/>
      <c r="AG15" s="1283"/>
      <c r="AH15" s="1283"/>
      <c r="AI15" s="1283"/>
      <c r="AJ15" s="1283"/>
      <c r="AK15" s="1283"/>
      <c r="AL15" s="1283"/>
      <c r="AM15" s="1283"/>
      <c r="AN15" s="1283"/>
      <c r="AO15" s="1283"/>
      <c r="AP15" s="1283"/>
      <c r="AQ15" s="1283"/>
      <c r="AR15" s="1433">
        <v>0</v>
      </c>
    </row>
    <row s="1869" customFormat="1" customHeight="1" ht="17.25">
      <c r="A16" s="337"/>
      <c r="C16" s="336"/>
      <c r="D16" s="2151"/>
      <c r="E16" s="2159"/>
      <c r="F16" s="2162"/>
      <c r="G16" s="2159"/>
      <c r="H16" s="2165"/>
      <c r="I16" s="2167"/>
      <c r="J16" s="2170"/>
      <c r="K16" s="2154"/>
      <c r="L16" s="1313"/>
      <c r="M16" s="1313"/>
      <c r="N16" s="1313"/>
      <c r="O16" s="1313"/>
      <c r="P16" s="1313"/>
      <c r="Q16" s="1313"/>
      <c r="R16" s="1313"/>
      <c r="S16" s="345"/>
      <c r="T16" s="345"/>
      <c r="U16" s="345"/>
      <c r="V16" s="345"/>
      <c r="W16" s="1314"/>
      <c r="Y16" s="1275"/>
      <c r="Z16" s="1275"/>
      <c r="AA16" s="1275"/>
      <c r="AB16" s="1275"/>
      <c r="AC16" s="1275"/>
      <c r="AD16" s="1275"/>
      <c r="AE16" s="1275"/>
      <c r="AF16" s="1275"/>
      <c r="AG16" s="1275"/>
      <c r="AH16" s="1275"/>
      <c r="AI16" s="1275"/>
      <c r="AJ16" s="1275"/>
      <c r="AK16" s="1275"/>
      <c r="AL16" s="1275"/>
      <c r="AM16" s="1275"/>
      <c r="AN16" s="1275"/>
      <c r="AO16" s="1275"/>
      <c r="AP16" s="1275"/>
      <c r="AQ16" s="1275"/>
      <c r="AR16" s="1433">
        <v>0</v>
      </c>
    </row>
    <row s="1869" customFormat="1" customHeight="1" ht="17.25">
      <c r="A17" s="337"/>
      <c r="C17" s="336"/>
      <c r="D17" s="2152"/>
      <c r="E17" s="2160"/>
      <c r="F17" s="2163"/>
      <c r="G17" s="2160"/>
      <c r="H17" s="1315"/>
      <c r="I17" s="1316"/>
      <c r="J17" s="1316"/>
      <c r="K17" s="1316"/>
      <c r="L17" s="1316"/>
      <c r="M17" s="1316"/>
      <c r="N17" s="1316"/>
      <c r="O17" s="1316"/>
      <c r="P17" s="1316"/>
      <c r="Q17" s="1316"/>
      <c r="R17" s="1316"/>
      <c r="S17" s="1317"/>
      <c r="T17" s="1317"/>
      <c r="U17" s="1317"/>
      <c r="V17" s="1317"/>
      <c r="W17" s="1318"/>
      <c r="Y17" s="1275"/>
      <c r="Z17" s="1275"/>
      <c r="AA17" s="1275"/>
      <c r="AB17" s="1275"/>
      <c r="AC17" s="1275"/>
      <c r="AD17" s="1275"/>
      <c r="AE17" s="1275"/>
      <c r="AF17" s="1275"/>
      <c r="AG17" s="1275"/>
      <c r="AH17" s="1275"/>
      <c r="AI17" s="1275"/>
      <c r="AJ17" s="1275"/>
      <c r="AK17" s="1275"/>
      <c r="AL17" s="1275"/>
      <c r="AM17" s="1275"/>
      <c r="AN17" s="1275"/>
      <c r="AO17" s="1275"/>
      <c r="AP17" s="1275"/>
      <c r="AQ17" s="1275"/>
      <c r="AR17" s="766">
        <v>0</v>
      </c>
    </row>
    <row s="1869" customFormat="1" customHeight="1" ht="17.25">
      <c r="A18" s="337"/>
      <c r="C18" s="225"/>
      <c r="D18" s="2151">
        <v>2</v>
      </c>
      <c r="E18" s="2180" t="s">
        <v>223</v>
      </c>
      <c r="F18" s="2161" t="s">
        <v>19</v>
      </c>
      <c r="G18" s="2159"/>
      <c r="H18" s="2164"/>
      <c r="I18" s="2166"/>
      <c r="J18" s="2168"/>
      <c r="K18" s="2153"/>
      <c r="L18" s="2153"/>
      <c r="M18" s="2153"/>
      <c r="N18" s="2155"/>
      <c r="O18" s="2153"/>
      <c r="P18" s="2153"/>
      <c r="Q18" s="2153"/>
      <c r="R18" s="2158"/>
      <c r="S18" s="2153"/>
      <c r="T18" s="1436"/>
      <c r="U18" s="1436"/>
      <c r="V18" s="1435"/>
      <c r="W18" s="1312"/>
      <c r="X18" s="1283"/>
      <c r="Y18" s="1283"/>
      <c r="Z18" s="1283"/>
      <c r="AA18" s="1283"/>
      <c r="AB18" s="1283"/>
      <c r="AC18" s="1283" t="s">
        <v>224</v>
      </c>
      <c r="AD18" s="1283" t="s">
        <v>225</v>
      </c>
      <c r="AE18" s="1283" t="s">
        <v>226</v>
      </c>
      <c r="AF18" s="1283" t="s">
        <v>227</v>
      </c>
      <c r="AG18" s="1283" t="s">
        <v>228</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88">
        <f>$I$18</f>
        <v>0</v>
      </c>
      <c r="AO18" s="1283" t="str">
        <f>$I$18&amp;"."&amp;$M$18</f>
        <v>.</v>
      </c>
      <c r="AP18" s="1275" t="str">
        <f>$I$18&amp;"."&amp;$M$18&amp;"."&amp;$Q$18</f>
        <v>..</v>
      </c>
      <c r="AQ18" s="1275" t="str">
        <f>$I$18&amp;"."&amp;$M$18&amp;"."&amp;$Q$18&amp;"."&amp;$U$18</f>
        <v>...</v>
      </c>
      <c r="AR18" s="1299">
        <v>0</v>
      </c>
    </row>
    <row s="1869" customFormat="1" customHeight="1" ht="17.25">
      <c r="A19" s="337"/>
      <c r="C19" s="336"/>
      <c r="D19" s="2151"/>
      <c r="E19" s="2180"/>
      <c r="F19" s="2162"/>
      <c r="G19" s="2159"/>
      <c r="H19" s="2165"/>
      <c r="I19" s="2167"/>
      <c r="J19" s="2169"/>
      <c r="K19" s="2154"/>
      <c r="L19" s="2154"/>
      <c r="M19" s="2154"/>
      <c r="N19" s="2156"/>
      <c r="O19" s="2154"/>
      <c r="P19" s="2154"/>
      <c r="Q19" s="2154"/>
      <c r="R19" s="2157"/>
      <c r="S19" s="2154"/>
      <c r="T19" s="1313"/>
      <c r="U19" s="1313"/>
      <c r="V19" s="1313"/>
      <c r="W19" s="1314"/>
      <c r="X19" s="1275"/>
      <c r="Y19" s="1275"/>
      <c r="Z19" s="1275"/>
      <c r="AA19" s="1275"/>
      <c r="AB19" s="1275"/>
      <c r="AC19" s="1275"/>
      <c r="AD19" s="1275"/>
      <c r="AE19" s="1275"/>
      <c r="AF19" s="1275"/>
      <c r="AG19" s="1275"/>
      <c r="AH19" s="1275"/>
      <c r="AI19" s="1275"/>
      <c r="AJ19" s="1275"/>
      <c r="AK19" s="1275"/>
      <c r="AL19" s="1275"/>
      <c r="AM19" s="1275"/>
      <c r="AN19" s="1275"/>
      <c r="AO19" s="1275"/>
      <c r="AP19" s="1275"/>
      <c r="AQ19" s="1275"/>
      <c r="AR19" s="1299">
        <v>0</v>
      </c>
    </row>
    <row s="1869" customFormat="1" customHeight="1" ht="17.25">
      <c r="A20" s="337"/>
      <c r="C20" s="336"/>
      <c r="D20" s="2152"/>
      <c r="E20" s="2181"/>
      <c r="F20" s="2162"/>
      <c r="G20" s="2160"/>
      <c r="H20" s="2165"/>
      <c r="I20" s="2167"/>
      <c r="J20" s="2170"/>
      <c r="K20" s="2154"/>
      <c r="L20" s="2154"/>
      <c r="M20" s="2154"/>
      <c r="N20" s="2157"/>
      <c r="O20" s="2154"/>
      <c r="P20" s="1434"/>
      <c r="Q20" s="1313"/>
      <c r="R20" s="1313"/>
      <c r="S20" s="345"/>
      <c r="T20" s="345"/>
      <c r="U20" s="345"/>
      <c r="V20" s="345"/>
      <c r="W20" s="1314"/>
      <c r="X20" s="1275"/>
      <c r="Y20" s="1275"/>
      <c r="Z20" s="1275"/>
      <c r="AA20" s="1275"/>
      <c r="AB20" s="1275"/>
      <c r="AC20" s="1275"/>
      <c r="AD20" s="1275"/>
      <c r="AE20" s="1275"/>
      <c r="AF20" s="1275"/>
      <c r="AG20" s="1275"/>
      <c r="AH20" s="1275"/>
      <c r="AI20" s="1275"/>
      <c r="AJ20" s="1275"/>
      <c r="AK20" s="1275"/>
      <c r="AL20" s="1275"/>
      <c r="AM20" s="1275"/>
      <c r="AN20" s="1275"/>
      <c r="AO20" s="1275"/>
      <c r="AP20" s="1275"/>
      <c r="AQ20" s="1275"/>
      <c r="AR20" s="1299">
        <v>0</v>
      </c>
    </row>
    <row s="1869" customFormat="1" customHeight="1" ht="17.25">
      <c r="A21" s="337"/>
      <c r="C21" s="336"/>
      <c r="D21" s="2152"/>
      <c r="E21" s="2181"/>
      <c r="F21" s="2162"/>
      <c r="G21" s="2160"/>
      <c r="H21" s="2165"/>
      <c r="I21" s="2167"/>
      <c r="J21" s="2170"/>
      <c r="K21" s="2154"/>
      <c r="L21" s="1313"/>
      <c r="M21" s="1313"/>
      <c r="N21" s="1313"/>
      <c r="O21" s="1313"/>
      <c r="P21" s="1313"/>
      <c r="Q21" s="1313"/>
      <c r="R21" s="1313"/>
      <c r="S21" s="345"/>
      <c r="T21" s="345"/>
      <c r="U21" s="345"/>
      <c r="V21" s="345"/>
      <c r="W21" s="1314"/>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99">
        <v>0</v>
      </c>
    </row>
    <row s="1869" customFormat="1" customHeight="1" ht="17.25">
      <c r="A22" s="337"/>
      <c r="C22" s="336"/>
      <c r="D22" s="2152"/>
      <c r="E22" s="2181"/>
      <c r="F22" s="2163"/>
      <c r="G22" s="2160"/>
      <c r="H22" s="1315"/>
      <c r="I22" s="1316"/>
      <c r="J22" s="1316"/>
      <c r="K22" s="1316"/>
      <c r="L22" s="1316"/>
      <c r="M22" s="1316"/>
      <c r="N22" s="1316"/>
      <c r="O22" s="1316"/>
      <c r="P22" s="1316"/>
      <c r="Q22" s="1316"/>
      <c r="R22" s="1316"/>
      <c r="S22" s="1317"/>
      <c r="T22" s="1317"/>
      <c r="U22" s="1317"/>
      <c r="V22" s="1317"/>
      <c r="W22" s="1318"/>
      <c r="X22" s="1275"/>
      <c r="Y22" s="1275"/>
      <c r="Z22" s="1275"/>
      <c r="AA22" s="1275"/>
      <c r="AB22" s="1275"/>
      <c r="AC22" s="1275"/>
      <c r="AD22" s="1275"/>
      <c r="AE22" s="1275"/>
      <c r="AF22" s="1275"/>
      <c r="AG22" s="1275"/>
      <c r="AH22" s="1275"/>
      <c r="AI22" s="1275"/>
      <c r="AJ22" s="1275"/>
      <c r="AK22" s="1275"/>
      <c r="AL22" s="1275"/>
      <c r="AM22" s="1275"/>
      <c r="AN22" s="1275"/>
      <c r="AO22" s="1275"/>
      <c r="AP22" s="1275"/>
      <c r="AQ22" s="1275"/>
      <c r="AR22" s="1299">
        <v>0</v>
      </c>
    </row>
    <row s="1869" customFormat="1" customHeight="1" ht="17.25" hidden="1">
      <c r="A23" s="337"/>
      <c r="C23" s="225"/>
      <c r="D23" s="2151">
        <v>2</v>
      </c>
      <c r="E23" s="2159" t="s">
        <v>223</v>
      </c>
      <c r="F23" s="2161" t="s">
        <v>19</v>
      </c>
      <c r="G23" s="2159"/>
      <c r="H23" s="2164"/>
      <c r="I23" s="2166"/>
      <c r="J23" s="2168"/>
      <c r="K23" s="2153"/>
      <c r="L23" s="2153"/>
      <c r="M23" s="2153"/>
      <c r="N23" s="2155"/>
      <c r="O23" s="2153"/>
      <c r="P23" s="2153"/>
      <c r="Q23" s="2153"/>
      <c r="R23" s="2158"/>
      <c r="S23" s="2153"/>
      <c r="T23" s="2014"/>
      <c r="U23" s="2014"/>
      <c r="V23" s="2016"/>
      <c r="W23" s="1312"/>
      <c r="X23" s="1283"/>
      <c r="Y23" s="1283"/>
      <c r="Z23" s="1283" t="s">
        <v>28</v>
      </c>
      <c r="AA23" s="1283" t="s">
        <v>28</v>
      </c>
      <c r="AB23" s="1283" t="s">
        <v>28</v>
      </c>
      <c r="AC23" s="1283" t="s">
        <v>28</v>
      </c>
      <c r="AD23" s="1283" t="s">
        <v>28</v>
      </c>
      <c r="AE23" s="1283" t="s">
        <v>28</v>
      </c>
      <c r="AF23" s="1283" t="s">
        <v>28</v>
      </c>
      <c r="AG23" s="1283" t="s">
        <v>28</v>
      </c>
      <c r="AH23" s="1283" t="s">
        <v>28</v>
      </c>
      <c r="AI23" s="1283" t="s">
        <v>28</v>
      </c>
      <c r="AJ23" s="1283" t="s">
        <v>28</v>
      </c>
      <c r="AK23" s="1283" t="s">
        <v>28</v>
      </c>
      <c r="AL23" s="1283" t="s">
        <v>28</v>
      </c>
      <c r="AM23" s="1283" t="s">
        <v>28</v>
      </c>
      <c r="AN23" s="1788" t="s">
        <v>28</v>
      </c>
      <c r="AO23" s="1283" t="s">
        <v>28</v>
      </c>
      <c r="AP23" s="1282" t="s">
        <v>28</v>
      </c>
      <c r="AQ23" s="1282" t="s">
        <v>28</v>
      </c>
      <c r="AR23" s="1483">
        <v>0</v>
      </c>
    </row>
    <row s="1869" customFormat="1" customHeight="1" ht="17.25" hidden="1">
      <c r="A24" s="337"/>
      <c r="C24" s="336"/>
      <c r="D24" s="2151"/>
      <c r="E24" s="2159"/>
      <c r="F24" s="2162"/>
      <c r="G24" s="2159"/>
      <c r="H24" s="2165"/>
      <c r="I24" s="2167"/>
      <c r="J24" s="2169"/>
      <c r="K24" s="2154"/>
      <c r="L24" s="2154"/>
      <c r="M24" s="2154"/>
      <c r="N24" s="2156"/>
      <c r="O24" s="2154"/>
      <c r="P24" s="2154"/>
      <c r="Q24" s="2154"/>
      <c r="R24" s="2157"/>
      <c r="S24" s="2154"/>
      <c r="T24" s="2019"/>
      <c r="U24" s="2019"/>
      <c r="V24" s="2019"/>
      <c r="W24" s="2020"/>
      <c r="X24" s="1282"/>
      <c r="Y24" s="1282"/>
      <c r="Z24" s="1282"/>
      <c r="AA24" s="1282"/>
      <c r="AB24" s="1282"/>
      <c r="AC24" s="1282"/>
      <c r="AD24" s="1282"/>
      <c r="AE24" s="1282"/>
      <c r="AF24" s="1282"/>
      <c r="AG24" s="1282"/>
      <c r="AH24" s="1282"/>
      <c r="AI24" s="1282"/>
      <c r="AJ24" s="1282"/>
      <c r="AK24" s="1282"/>
      <c r="AL24" s="1282"/>
      <c r="AM24" s="1282"/>
      <c r="AN24" s="1282"/>
      <c r="AO24" s="1282"/>
      <c r="AP24" s="1282"/>
      <c r="AQ24" s="1282"/>
      <c r="AR24" s="1483">
        <v>0</v>
      </c>
    </row>
    <row s="1869" customFormat="1" customHeight="1" ht="17.25" hidden="1">
      <c r="A25" s="337"/>
      <c r="C25" s="336"/>
      <c r="D25" s="2152"/>
      <c r="E25" s="2160"/>
      <c r="F25" s="2162"/>
      <c r="G25" s="2160"/>
      <c r="H25" s="2165"/>
      <c r="I25" s="2167"/>
      <c r="J25" s="2170"/>
      <c r="K25" s="2154"/>
      <c r="L25" s="2154"/>
      <c r="M25" s="2154"/>
      <c r="N25" s="2157"/>
      <c r="O25" s="2154"/>
      <c r="P25" s="2015"/>
      <c r="Q25" s="2019"/>
      <c r="R25" s="2019"/>
      <c r="S25" s="345"/>
      <c r="T25" s="345"/>
      <c r="U25" s="345"/>
      <c r="V25" s="345"/>
      <c r="W25" s="2020"/>
      <c r="X25" s="1282"/>
      <c r="Y25" s="1282"/>
      <c r="Z25" s="1282"/>
      <c r="AA25" s="1282"/>
      <c r="AB25" s="1282"/>
      <c r="AC25" s="1282"/>
      <c r="AD25" s="1282"/>
      <c r="AE25" s="1282"/>
      <c r="AF25" s="1282"/>
      <c r="AG25" s="1282"/>
      <c r="AH25" s="1282"/>
      <c r="AI25" s="1282"/>
      <c r="AJ25" s="1282"/>
      <c r="AK25" s="1282"/>
      <c r="AL25" s="1282"/>
      <c r="AM25" s="1282"/>
      <c r="AN25" s="1282"/>
      <c r="AO25" s="1282"/>
      <c r="AP25" s="1282"/>
      <c r="AQ25" s="1282"/>
      <c r="AR25" s="1483">
        <v>0</v>
      </c>
    </row>
    <row s="1869" customFormat="1" customHeight="1" ht="17.25" hidden="1">
      <c r="A26" s="337"/>
      <c r="C26" s="336"/>
      <c r="D26" s="2152"/>
      <c r="E26" s="2160"/>
      <c r="F26" s="2162"/>
      <c r="G26" s="2160"/>
      <c r="H26" s="2165"/>
      <c r="I26" s="2167"/>
      <c r="J26" s="2170"/>
      <c r="K26" s="2154"/>
      <c r="L26" s="2019"/>
      <c r="M26" s="2019"/>
      <c r="N26" s="2019"/>
      <c r="O26" s="2019"/>
      <c r="P26" s="2019"/>
      <c r="Q26" s="2019"/>
      <c r="R26" s="2019"/>
      <c r="S26" s="345"/>
      <c r="T26" s="345"/>
      <c r="U26" s="345"/>
      <c r="V26" s="345"/>
      <c r="W26" s="2020"/>
      <c r="X26" s="1282"/>
      <c r="Y26" s="1282"/>
      <c r="Z26" s="1282"/>
      <c r="AA26" s="1282"/>
      <c r="AB26" s="1282"/>
      <c r="AC26" s="1282"/>
      <c r="AD26" s="1282"/>
      <c r="AE26" s="1282"/>
      <c r="AF26" s="1282"/>
      <c r="AG26" s="1282"/>
      <c r="AH26" s="1282"/>
      <c r="AI26" s="1282"/>
      <c r="AJ26" s="1282"/>
      <c r="AK26" s="1282"/>
      <c r="AL26" s="1282"/>
      <c r="AM26" s="1282"/>
      <c r="AN26" s="1282"/>
      <c r="AO26" s="1282"/>
      <c r="AP26" s="1282"/>
      <c r="AQ26" s="1282"/>
      <c r="AR26" s="1483">
        <v>0</v>
      </c>
    </row>
    <row s="1869" customFormat="1" customHeight="1" ht="17.25" hidden="1">
      <c r="A27" s="337"/>
      <c r="C27" s="336"/>
      <c r="D27" s="2152"/>
      <c r="E27" s="2160"/>
      <c r="F27" s="2163"/>
      <c r="G27" s="2160"/>
      <c r="H27" s="1315"/>
      <c r="I27" s="2017"/>
      <c r="J27" s="2017"/>
      <c r="K27" s="2017"/>
      <c r="L27" s="2017"/>
      <c r="M27" s="2017"/>
      <c r="N27" s="2017"/>
      <c r="O27" s="2017"/>
      <c r="P27" s="2017"/>
      <c r="Q27" s="2017"/>
      <c r="R27" s="2017"/>
      <c r="S27" s="1317"/>
      <c r="T27" s="1317"/>
      <c r="U27" s="1317"/>
      <c r="V27" s="1317"/>
      <c r="W27" s="2018"/>
      <c r="X27" s="1282"/>
      <c r="Y27" s="1282"/>
      <c r="Z27" s="1282"/>
      <c r="AA27" s="1282"/>
      <c r="AB27" s="1282"/>
      <c r="AC27" s="1282"/>
      <c r="AD27" s="1282"/>
      <c r="AE27" s="1282"/>
      <c r="AF27" s="1282"/>
      <c r="AG27" s="1282"/>
      <c r="AH27" s="1282"/>
      <c r="AI27" s="1282"/>
      <c r="AJ27" s="1282"/>
      <c r="AK27" s="1282"/>
      <c r="AL27" s="1282"/>
      <c r="AM27" s="1282"/>
      <c r="AN27" s="1282"/>
      <c r="AO27" s="1282"/>
      <c r="AP27" s="1282"/>
      <c r="AQ27" s="1282"/>
      <c r="AR27" s="1483">
        <v>0</v>
      </c>
    </row>
    <row s="1869" customFormat="1" customHeight="1" ht="17.25">
      <c r="A28" s="337"/>
      <c r="C28" s="225"/>
      <c r="D28" s="2151">
        <v>3</v>
      </c>
      <c r="E28" s="2159" t="s">
        <v>229</v>
      </c>
      <c r="F28" s="2161" t="s">
        <v>19</v>
      </c>
      <c r="G28" s="2159"/>
      <c r="H28" s="2164"/>
      <c r="I28" s="2166"/>
      <c r="J28" s="2168"/>
      <c r="K28" s="2153"/>
      <c r="L28" s="2153"/>
      <c r="M28" s="2153"/>
      <c r="N28" s="2155"/>
      <c r="O28" s="2153"/>
      <c r="P28" s="2153"/>
      <c r="Q28" s="2153"/>
      <c r="R28" s="2158"/>
      <c r="S28" s="2153"/>
      <c r="T28" s="1436"/>
      <c r="U28" s="1436"/>
      <c r="V28" s="1435"/>
      <c r="W28" s="1312"/>
      <c r="X28" s="1283"/>
      <c r="Y28" s="1283"/>
      <c r="Z28" s="1283"/>
      <c r="AA28" s="1283"/>
      <c r="AB28" s="1283"/>
      <c r="AC28" s="1283" t="s">
        <v>230</v>
      </c>
      <c r="AD28" s="1283" t="s">
        <v>231</v>
      </c>
      <c r="AE28" s="1283" t="s">
        <v>232</v>
      </c>
      <c r="AF28" s="1283" t="s">
        <v>233</v>
      </c>
      <c r="AG28" s="1283" t="s">
        <v>234</v>
      </c>
      <c r="AH28" s="1283" t="str">
        <f>IF($E$28=0,"",$E$28)</f>
        <v>Тарифы на теплоноситель, поставляемый теплоснабжающими организациями потребителям, другим теплоснабжающим организациям</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88">
        <f>$I$28</f>
        <v>0</v>
      </c>
      <c r="AO28" s="1283" t="str">
        <f>$I$28&amp;"."&amp;$M$28</f>
        <v>.</v>
      </c>
      <c r="AP28" s="1275" t="str">
        <f>$I$28&amp;"."&amp;$M$28&amp;"."&amp;$Q$28</f>
        <v>..</v>
      </c>
      <c r="AQ28" s="1275" t="str">
        <f>$I$28&amp;"."&amp;$M$28&amp;"."&amp;$Q$28&amp;"."&amp;$U$28</f>
        <v>...</v>
      </c>
      <c r="AR28" s="1299">
        <v>0</v>
      </c>
    </row>
    <row s="1869" customFormat="1" customHeight="1" ht="17.25">
      <c r="A29" s="337"/>
      <c r="C29" s="336"/>
      <c r="D29" s="2151"/>
      <c r="E29" s="2159"/>
      <c r="F29" s="2162"/>
      <c r="G29" s="2159"/>
      <c r="H29" s="2165"/>
      <c r="I29" s="2167"/>
      <c r="J29" s="2169"/>
      <c r="K29" s="2154"/>
      <c r="L29" s="2154"/>
      <c r="M29" s="2154"/>
      <c r="N29" s="2156"/>
      <c r="O29" s="2154"/>
      <c r="P29" s="2154"/>
      <c r="Q29" s="2154"/>
      <c r="R29" s="2157"/>
      <c r="S29" s="2154"/>
      <c r="T29" s="1313"/>
      <c r="U29" s="1313"/>
      <c r="V29" s="1313"/>
      <c r="W29" s="1314"/>
      <c r="X29" s="1275"/>
      <c r="Y29" s="1275"/>
      <c r="Z29" s="1275"/>
      <c r="AA29" s="1275"/>
      <c r="AB29" s="1275"/>
      <c r="AC29" s="1275"/>
      <c r="AD29" s="1275"/>
      <c r="AE29" s="1275"/>
      <c r="AF29" s="1275"/>
      <c r="AG29" s="1275"/>
      <c r="AH29" s="1275"/>
      <c r="AI29" s="1275"/>
      <c r="AJ29" s="1275"/>
      <c r="AK29" s="1275"/>
      <c r="AL29" s="1275"/>
      <c r="AM29" s="1275"/>
      <c r="AN29" s="1275"/>
      <c r="AO29" s="1275"/>
      <c r="AP29" s="1275"/>
      <c r="AQ29" s="1275"/>
      <c r="AR29" s="1299">
        <v>0</v>
      </c>
    </row>
    <row s="1869" customFormat="1" customHeight="1" ht="17.25">
      <c r="A30" s="337"/>
      <c r="C30" s="336"/>
      <c r="D30" s="2152"/>
      <c r="E30" s="2160"/>
      <c r="F30" s="2162"/>
      <c r="G30" s="2160"/>
      <c r="H30" s="2165"/>
      <c r="I30" s="2167"/>
      <c r="J30" s="2170"/>
      <c r="K30" s="2154"/>
      <c r="L30" s="2154"/>
      <c r="M30" s="2154"/>
      <c r="N30" s="2157"/>
      <c r="O30" s="2154"/>
      <c r="P30" s="1434"/>
      <c r="Q30" s="1313"/>
      <c r="R30" s="1313"/>
      <c r="S30" s="345"/>
      <c r="T30" s="345"/>
      <c r="U30" s="345"/>
      <c r="V30" s="345"/>
      <c r="W30" s="1314"/>
      <c r="X30" s="1275"/>
      <c r="Y30" s="1275"/>
      <c r="Z30" s="1275"/>
      <c r="AA30" s="1275"/>
      <c r="AB30" s="1275"/>
      <c r="AC30" s="1275"/>
      <c r="AD30" s="1275"/>
      <c r="AE30" s="1275"/>
      <c r="AF30" s="1275"/>
      <c r="AG30" s="1275"/>
      <c r="AH30" s="1275"/>
      <c r="AI30" s="1275"/>
      <c r="AJ30" s="1275"/>
      <c r="AK30" s="1275"/>
      <c r="AL30" s="1275"/>
      <c r="AM30" s="1275"/>
      <c r="AN30" s="1275"/>
      <c r="AO30" s="1275"/>
      <c r="AP30" s="1275"/>
      <c r="AQ30" s="1275"/>
      <c r="AR30" s="1299">
        <v>0</v>
      </c>
    </row>
    <row s="1869" customFormat="1" customHeight="1" ht="17.25">
      <c r="A31" s="337"/>
      <c r="C31" s="336"/>
      <c r="D31" s="2152"/>
      <c r="E31" s="2160"/>
      <c r="F31" s="2162"/>
      <c r="G31" s="2160"/>
      <c r="H31" s="2165"/>
      <c r="I31" s="2167"/>
      <c r="J31" s="2170"/>
      <c r="K31" s="2154"/>
      <c r="L31" s="1313"/>
      <c r="M31" s="1313"/>
      <c r="N31" s="1313"/>
      <c r="O31" s="1313"/>
      <c r="P31" s="1313"/>
      <c r="Q31" s="1313"/>
      <c r="R31" s="1313"/>
      <c r="S31" s="345"/>
      <c r="T31" s="345"/>
      <c r="U31" s="345"/>
      <c r="V31" s="345"/>
      <c r="W31" s="1314"/>
      <c r="X31" s="1275"/>
      <c r="Y31" s="1275"/>
      <c r="Z31" s="1275"/>
      <c r="AA31" s="1275"/>
      <c r="AB31" s="1275"/>
      <c r="AC31" s="1275"/>
      <c r="AD31" s="1275"/>
      <c r="AE31" s="1275"/>
      <c r="AF31" s="1275"/>
      <c r="AG31" s="1275"/>
      <c r="AH31" s="1275"/>
      <c r="AI31" s="1275"/>
      <c r="AJ31" s="1275"/>
      <c r="AK31" s="1275"/>
      <c r="AL31" s="1275"/>
      <c r="AM31" s="1275"/>
      <c r="AN31" s="1275"/>
      <c r="AO31" s="1275"/>
      <c r="AP31" s="1275"/>
      <c r="AQ31" s="1275"/>
      <c r="AR31" s="1299">
        <v>0</v>
      </c>
    </row>
    <row s="1869" customFormat="1" customHeight="1" ht="17.25">
      <c r="A32" s="337"/>
      <c r="C32" s="336"/>
      <c r="D32" s="2152"/>
      <c r="E32" s="2160"/>
      <c r="F32" s="2163"/>
      <c r="G32" s="2160"/>
      <c r="H32" s="1315"/>
      <c r="I32" s="1316"/>
      <c r="J32" s="1316"/>
      <c r="K32" s="1316"/>
      <c r="L32" s="1316"/>
      <c r="M32" s="1316"/>
      <c r="N32" s="1316"/>
      <c r="O32" s="1316"/>
      <c r="P32" s="1316"/>
      <c r="Q32" s="1316"/>
      <c r="R32" s="1316"/>
      <c r="S32" s="1317"/>
      <c r="T32" s="1317"/>
      <c r="U32" s="1317"/>
      <c r="V32" s="1317"/>
      <c r="W32" s="1318"/>
      <c r="X32" s="1275"/>
      <c r="Y32" s="1275"/>
      <c r="Z32" s="1275"/>
      <c r="AA32" s="1275"/>
      <c r="AB32" s="1275"/>
      <c r="AC32" s="1275"/>
      <c r="AD32" s="1275"/>
      <c r="AE32" s="1275"/>
      <c r="AF32" s="1275"/>
      <c r="AG32" s="1275"/>
      <c r="AH32" s="1275"/>
      <c r="AI32" s="1275"/>
      <c r="AJ32" s="1275"/>
      <c r="AK32" s="1275"/>
      <c r="AL32" s="1275"/>
      <c r="AM32" s="1275"/>
      <c r="AN32" s="1275"/>
      <c r="AO32" s="1275"/>
      <c r="AP32" s="1275"/>
      <c r="AQ32" s="1275"/>
      <c r="AR32" s="1299">
        <v>0</v>
      </c>
    </row>
    <row s="1869" customFormat="1" customHeight="1" ht="17.25">
      <c r="A33" s="337"/>
      <c r="C33" s="225"/>
      <c r="D33" s="2151">
        <v>4</v>
      </c>
      <c r="E33" s="2159" t="s">
        <v>235</v>
      </c>
      <c r="F33" s="2161" t="s">
        <v>19</v>
      </c>
      <c r="G33" s="2159"/>
      <c r="H33" s="2164"/>
      <c r="I33" s="2166"/>
      <c r="J33" s="2168"/>
      <c r="K33" s="2153"/>
      <c r="L33" s="2153"/>
      <c r="M33" s="2153"/>
      <c r="N33" s="2155"/>
      <c r="O33" s="2153"/>
      <c r="P33" s="2153"/>
      <c r="Q33" s="2153"/>
      <c r="R33" s="2158"/>
      <c r="S33" s="2153"/>
      <c r="T33" s="1436"/>
      <c r="U33" s="1436"/>
      <c r="V33" s="1435"/>
      <c r="W33" s="1312"/>
      <c r="X33" s="1283"/>
      <c r="Y33" s="1283"/>
      <c r="Z33" s="1283"/>
      <c r="AA33" s="1283"/>
      <c r="AB33" s="1283"/>
      <c r="AC33" s="1283" t="s">
        <v>236</v>
      </c>
      <c r="AD33" s="1283" t="s">
        <v>237</v>
      </c>
      <c r="AE33" s="1283" t="s">
        <v>238</v>
      </c>
      <c r="AF33" s="1283" t="s">
        <v>239</v>
      </c>
      <c r="AG33" s="1283" t="s">
        <v>240</v>
      </c>
      <c r="AH33" s="128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88">
        <f>$I$33</f>
        <v>0</v>
      </c>
      <c r="AO33" s="1283" t="str">
        <f>$I$33&amp;"."&amp;$M$33</f>
        <v>.</v>
      </c>
      <c r="AP33" s="1275" t="str">
        <f>$I$33&amp;"."&amp;$M$33&amp;"."&amp;$Q$33</f>
        <v>..</v>
      </c>
      <c r="AQ33" s="1275" t="str">
        <f>$I$33&amp;"."&amp;$M$33&amp;"."&amp;$Q$33&amp;"."&amp;$U$33</f>
        <v>...</v>
      </c>
      <c r="AR33" s="1299">
        <v>0</v>
      </c>
    </row>
    <row s="1869" customFormat="1" customHeight="1" ht="17.25">
      <c r="A34" s="337"/>
      <c r="C34" s="336"/>
      <c r="D34" s="2151"/>
      <c r="E34" s="2159"/>
      <c r="F34" s="2162"/>
      <c r="G34" s="2159"/>
      <c r="H34" s="2165"/>
      <c r="I34" s="2167"/>
      <c r="J34" s="2169"/>
      <c r="K34" s="2154"/>
      <c r="L34" s="2154"/>
      <c r="M34" s="2154"/>
      <c r="N34" s="2156"/>
      <c r="O34" s="2154"/>
      <c r="P34" s="2154"/>
      <c r="Q34" s="2154"/>
      <c r="R34" s="2157"/>
      <c r="S34" s="2154"/>
      <c r="T34" s="1313"/>
      <c r="U34" s="1313"/>
      <c r="V34" s="1313"/>
      <c r="W34" s="1314"/>
      <c r="X34" s="1275"/>
      <c r="Y34" s="1275"/>
      <c r="Z34" s="1275"/>
      <c r="AA34" s="1275"/>
      <c r="AB34" s="1275"/>
      <c r="AC34" s="1275"/>
      <c r="AD34" s="1275"/>
      <c r="AE34" s="1275"/>
      <c r="AF34" s="1275"/>
      <c r="AG34" s="1275"/>
      <c r="AH34" s="1275"/>
      <c r="AI34" s="1275"/>
      <c r="AJ34" s="1275"/>
      <c r="AK34" s="1275"/>
      <c r="AL34" s="1275"/>
      <c r="AM34" s="1275"/>
      <c r="AN34" s="1275"/>
      <c r="AO34" s="1275"/>
      <c r="AP34" s="1275"/>
      <c r="AQ34" s="1275"/>
      <c r="AR34" s="1299">
        <v>0</v>
      </c>
    </row>
    <row s="1869" customFormat="1" customHeight="1" ht="17.25">
      <c r="A35" s="337"/>
      <c r="C35" s="336"/>
      <c r="D35" s="2152"/>
      <c r="E35" s="2160"/>
      <c r="F35" s="2162"/>
      <c r="G35" s="2160"/>
      <c r="H35" s="2165"/>
      <c r="I35" s="2167"/>
      <c r="J35" s="2170"/>
      <c r="K35" s="2154"/>
      <c r="L35" s="2154"/>
      <c r="M35" s="2154"/>
      <c r="N35" s="2157"/>
      <c r="O35" s="2154"/>
      <c r="P35" s="1434"/>
      <c r="Q35" s="1313"/>
      <c r="R35" s="1313"/>
      <c r="S35" s="345"/>
      <c r="T35" s="345"/>
      <c r="U35" s="345"/>
      <c r="V35" s="345"/>
      <c r="W35" s="1314"/>
      <c r="X35" s="1275"/>
      <c r="Y35" s="1275"/>
      <c r="Z35" s="1275"/>
      <c r="AA35" s="1275"/>
      <c r="AB35" s="1275"/>
      <c r="AC35" s="1275"/>
      <c r="AD35" s="1275"/>
      <c r="AE35" s="1275"/>
      <c r="AF35" s="1275"/>
      <c r="AG35" s="1275"/>
      <c r="AH35" s="1275"/>
      <c r="AI35" s="1275"/>
      <c r="AJ35" s="1275"/>
      <c r="AK35" s="1275"/>
      <c r="AL35" s="1275"/>
      <c r="AM35" s="1275"/>
      <c r="AN35" s="1275"/>
      <c r="AO35" s="1275"/>
      <c r="AP35" s="1275"/>
      <c r="AQ35" s="1275"/>
      <c r="AR35" s="1299">
        <v>0</v>
      </c>
    </row>
    <row s="1869" customFormat="1" customHeight="1" ht="17.25">
      <c r="A36" s="337"/>
      <c r="C36" s="336"/>
      <c r="D36" s="2152"/>
      <c r="E36" s="2160"/>
      <c r="F36" s="2162"/>
      <c r="G36" s="2160"/>
      <c r="H36" s="2165"/>
      <c r="I36" s="2167"/>
      <c r="J36" s="2170"/>
      <c r="K36" s="2154"/>
      <c r="L36" s="1313"/>
      <c r="M36" s="1313"/>
      <c r="N36" s="1313"/>
      <c r="O36" s="1313"/>
      <c r="P36" s="1313"/>
      <c r="Q36" s="1313"/>
      <c r="R36" s="1313"/>
      <c r="S36" s="345"/>
      <c r="T36" s="345"/>
      <c r="U36" s="345"/>
      <c r="V36" s="345"/>
      <c r="W36" s="1314"/>
      <c r="X36" s="1275"/>
      <c r="Y36" s="1275"/>
      <c r="Z36" s="1275"/>
      <c r="AA36" s="1275"/>
      <c r="AB36" s="1275"/>
      <c r="AC36" s="1275"/>
      <c r="AD36" s="1275"/>
      <c r="AE36" s="1275"/>
      <c r="AF36" s="1275"/>
      <c r="AG36" s="1275"/>
      <c r="AH36" s="1275"/>
      <c r="AI36" s="1275"/>
      <c r="AJ36" s="1275"/>
      <c r="AK36" s="1275"/>
      <c r="AL36" s="1275"/>
      <c r="AM36" s="1275"/>
      <c r="AN36" s="1275"/>
      <c r="AO36" s="1275"/>
      <c r="AP36" s="1275"/>
      <c r="AQ36" s="1275"/>
      <c r="AR36" s="1299">
        <v>0</v>
      </c>
    </row>
    <row s="1869" customFormat="1" customHeight="1" ht="17.25">
      <c r="A37" s="337"/>
      <c r="C37" s="336"/>
      <c r="D37" s="2152"/>
      <c r="E37" s="2160"/>
      <c r="F37" s="2163"/>
      <c r="G37" s="2160"/>
      <c r="H37" s="1315"/>
      <c r="I37" s="1316"/>
      <c r="J37" s="1316"/>
      <c r="K37" s="1316"/>
      <c r="L37" s="1316"/>
      <c r="M37" s="1316"/>
      <c r="N37" s="1316"/>
      <c r="O37" s="1316"/>
      <c r="P37" s="1316"/>
      <c r="Q37" s="1316"/>
      <c r="R37" s="1316"/>
      <c r="S37" s="1317"/>
      <c r="T37" s="1317"/>
      <c r="U37" s="1317"/>
      <c r="V37" s="1317"/>
      <c r="W37" s="1318"/>
      <c r="X37" s="1275"/>
      <c r="Y37" s="1275"/>
      <c r="Z37" s="1275"/>
      <c r="AA37" s="1275"/>
      <c r="AB37" s="1275"/>
      <c r="AC37" s="1275"/>
      <c r="AD37" s="1275"/>
      <c r="AE37" s="1275"/>
      <c r="AF37" s="1275"/>
      <c r="AG37" s="1275"/>
      <c r="AH37" s="1275"/>
      <c r="AI37" s="1275"/>
      <c r="AJ37" s="1275"/>
      <c r="AK37" s="1275"/>
      <c r="AL37" s="1275"/>
      <c r="AM37" s="1275"/>
      <c r="AN37" s="1275"/>
      <c r="AO37" s="1275"/>
      <c r="AP37" s="1275"/>
      <c r="AQ37" s="1275"/>
      <c r="AR37" s="1299">
        <v>0</v>
      </c>
    </row>
    <row s="1869" customFormat="1" customHeight="1" ht="17.25">
      <c r="A38" s="337"/>
      <c r="C38" s="225"/>
      <c r="D38" s="2151">
        <v>5</v>
      </c>
      <c r="E38" s="2159" t="s">
        <v>241</v>
      </c>
      <c r="F38" s="2161" t="s">
        <v>19</v>
      </c>
      <c r="G38" s="2159"/>
      <c r="H38" s="2164"/>
      <c r="I38" s="2166"/>
      <c r="J38" s="2168"/>
      <c r="K38" s="2153"/>
      <c r="L38" s="2153"/>
      <c r="M38" s="2153"/>
      <c r="N38" s="2155"/>
      <c r="O38" s="2153"/>
      <c r="P38" s="2153"/>
      <c r="Q38" s="2153"/>
      <c r="R38" s="2158"/>
      <c r="S38" s="2153"/>
      <c r="T38" s="1436"/>
      <c r="U38" s="1436"/>
      <c r="V38" s="1435"/>
      <c r="W38" s="1312"/>
      <c r="X38" s="1283"/>
      <c r="Y38" s="1283"/>
      <c r="Z38" s="1283"/>
      <c r="AA38" s="1283"/>
      <c r="AB38" s="1283"/>
      <c r="AC38" s="1283" t="s">
        <v>242</v>
      </c>
      <c r="AD38" s="1283" t="s">
        <v>243</v>
      </c>
      <c r="AE38" s="1283" t="s">
        <v>244</v>
      </c>
      <c r="AF38" s="1283" t="s">
        <v>245</v>
      </c>
      <c r="AG38" s="1283" t="s">
        <v>246</v>
      </c>
      <c r="AH38" s="1283" t="str">
        <f>IF($E$38=0,"",$E$38)</f>
        <v>Тарифы на услуги по передаче тепловой энергии</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88">
        <f>$I$38</f>
        <v>0</v>
      </c>
      <c r="AO38" s="1283" t="str">
        <f>$I$38&amp;"."&amp;$M$38</f>
        <v>.</v>
      </c>
      <c r="AP38" s="1275" t="str">
        <f>$I$38&amp;"."&amp;$M$38&amp;"."&amp;$Q$38</f>
        <v>..</v>
      </c>
      <c r="AQ38" s="1275" t="str">
        <f>$I$38&amp;"."&amp;$M$38&amp;"."&amp;$Q$38&amp;"."&amp;$U$38</f>
        <v>...</v>
      </c>
      <c r="AR38" s="1299">
        <v>0</v>
      </c>
    </row>
    <row s="1869" customFormat="1" customHeight="1" ht="17.25">
      <c r="A39" s="337"/>
      <c r="C39" s="336"/>
      <c r="D39" s="2151"/>
      <c r="E39" s="2159"/>
      <c r="F39" s="2162"/>
      <c r="G39" s="2159"/>
      <c r="H39" s="2165"/>
      <c r="I39" s="2167"/>
      <c r="J39" s="2169"/>
      <c r="K39" s="2154"/>
      <c r="L39" s="2154"/>
      <c r="M39" s="2154"/>
      <c r="N39" s="2156"/>
      <c r="O39" s="2154"/>
      <c r="P39" s="2154"/>
      <c r="Q39" s="2154"/>
      <c r="R39" s="2157"/>
      <c r="S39" s="2154"/>
      <c r="T39" s="1313"/>
      <c r="U39" s="1313"/>
      <c r="V39" s="1313"/>
      <c r="W39" s="1314"/>
      <c r="X39" s="1275"/>
      <c r="Y39" s="1275"/>
      <c r="Z39" s="1275"/>
      <c r="AA39" s="1275"/>
      <c r="AB39" s="1275"/>
      <c r="AC39" s="1275"/>
      <c r="AD39" s="1275"/>
      <c r="AE39" s="1275"/>
      <c r="AF39" s="1275"/>
      <c r="AG39" s="1275"/>
      <c r="AH39" s="1275"/>
      <c r="AI39" s="1275"/>
      <c r="AJ39" s="1275"/>
      <c r="AK39" s="1275"/>
      <c r="AL39" s="1275"/>
      <c r="AM39" s="1275"/>
      <c r="AN39" s="1275"/>
      <c r="AO39" s="1275"/>
      <c r="AP39" s="1275"/>
      <c r="AQ39" s="1275"/>
      <c r="AR39" s="1299">
        <v>0</v>
      </c>
    </row>
    <row s="1869" customFormat="1" customHeight="1" ht="17.25">
      <c r="A40" s="337"/>
      <c r="C40" s="336"/>
      <c r="D40" s="2152"/>
      <c r="E40" s="2160"/>
      <c r="F40" s="2162"/>
      <c r="G40" s="2160"/>
      <c r="H40" s="2165"/>
      <c r="I40" s="2167"/>
      <c r="J40" s="2170"/>
      <c r="K40" s="2154"/>
      <c r="L40" s="2154"/>
      <c r="M40" s="2154"/>
      <c r="N40" s="2157"/>
      <c r="O40" s="2154"/>
      <c r="P40" s="1434"/>
      <c r="Q40" s="1313"/>
      <c r="R40" s="1313"/>
      <c r="S40" s="345"/>
      <c r="T40" s="345"/>
      <c r="U40" s="345"/>
      <c r="V40" s="345"/>
      <c r="W40" s="1314"/>
      <c r="X40" s="1275"/>
      <c r="Y40" s="1275"/>
      <c r="Z40" s="1275"/>
      <c r="AA40" s="1275"/>
      <c r="AB40" s="1275"/>
      <c r="AC40" s="1275"/>
      <c r="AD40" s="1275"/>
      <c r="AE40" s="1275"/>
      <c r="AF40" s="1275"/>
      <c r="AG40" s="1275"/>
      <c r="AH40" s="1275"/>
      <c r="AI40" s="1275"/>
      <c r="AJ40" s="1275"/>
      <c r="AK40" s="1275"/>
      <c r="AL40" s="1275"/>
      <c r="AM40" s="1275"/>
      <c r="AN40" s="1275"/>
      <c r="AO40" s="1275"/>
      <c r="AP40" s="1275"/>
      <c r="AQ40" s="1275"/>
      <c r="AR40" s="1299">
        <v>0</v>
      </c>
    </row>
    <row s="1869" customFormat="1" customHeight="1" ht="17.25">
      <c r="A41" s="337"/>
      <c r="C41" s="336"/>
      <c r="D41" s="2152"/>
      <c r="E41" s="2160"/>
      <c r="F41" s="2162"/>
      <c r="G41" s="2160"/>
      <c r="H41" s="2165"/>
      <c r="I41" s="2167"/>
      <c r="J41" s="2170"/>
      <c r="K41" s="2154"/>
      <c r="L41" s="1313"/>
      <c r="M41" s="1313"/>
      <c r="N41" s="1313"/>
      <c r="O41" s="1313"/>
      <c r="P41" s="1313"/>
      <c r="Q41" s="1313"/>
      <c r="R41" s="1313"/>
      <c r="S41" s="345"/>
      <c r="T41" s="345"/>
      <c r="U41" s="345"/>
      <c r="V41" s="345"/>
      <c r="W41" s="1314"/>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99">
        <v>0</v>
      </c>
    </row>
    <row s="1869" customFormat="1" customHeight="1" ht="17.25">
      <c r="A42" s="337"/>
      <c r="C42" s="336"/>
      <c r="D42" s="2152"/>
      <c r="E42" s="2160"/>
      <c r="F42" s="2163"/>
      <c r="G42" s="2160"/>
      <c r="H42" s="1315"/>
      <c r="I42" s="1316"/>
      <c r="J42" s="1316"/>
      <c r="K42" s="1316"/>
      <c r="L42" s="1316"/>
      <c r="M42" s="1316"/>
      <c r="N42" s="1316"/>
      <c r="O42" s="1316"/>
      <c r="P42" s="1316"/>
      <c r="Q42" s="1316"/>
      <c r="R42" s="1316"/>
      <c r="S42" s="1317"/>
      <c r="T42" s="1317"/>
      <c r="U42" s="1317"/>
      <c r="V42" s="1317"/>
      <c r="W42" s="1318"/>
      <c r="X42" s="1275"/>
      <c r="Y42" s="1275"/>
      <c r="Z42" s="1275"/>
      <c r="AA42" s="1275"/>
      <c r="AB42" s="1275"/>
      <c r="AC42" s="1275"/>
      <c r="AD42" s="1275"/>
      <c r="AE42" s="1275"/>
      <c r="AF42" s="1275"/>
      <c r="AG42" s="1275"/>
      <c r="AH42" s="1275"/>
      <c r="AI42" s="1275"/>
      <c r="AJ42" s="1275"/>
      <c r="AK42" s="1275"/>
      <c r="AL42" s="1275"/>
      <c r="AM42" s="1275"/>
      <c r="AN42" s="1275"/>
      <c r="AO42" s="1275"/>
      <c r="AP42" s="1275"/>
      <c r="AQ42" s="1275"/>
      <c r="AR42" s="1299">
        <v>0</v>
      </c>
    </row>
    <row s="1869" customFormat="1" customHeight="1" ht="17.25">
      <c r="A43" s="337"/>
      <c r="C43" s="225"/>
      <c r="D43" s="2151">
        <v>6</v>
      </c>
      <c r="E43" s="2159" t="s">
        <v>247</v>
      </c>
      <c r="F43" s="2161" t="s">
        <v>19</v>
      </c>
      <c r="G43" s="2159"/>
      <c r="H43" s="2164"/>
      <c r="I43" s="2166"/>
      <c r="J43" s="2168"/>
      <c r="K43" s="2153"/>
      <c r="L43" s="2153"/>
      <c r="M43" s="2153"/>
      <c r="N43" s="2155"/>
      <c r="O43" s="2153"/>
      <c r="P43" s="2153"/>
      <c r="Q43" s="2153"/>
      <c r="R43" s="2158"/>
      <c r="S43" s="2153"/>
      <c r="T43" s="1436"/>
      <c r="U43" s="1436"/>
      <c r="V43" s="1435"/>
      <c r="W43" s="1312"/>
      <c r="X43" s="1283"/>
      <c r="Y43" s="1283"/>
      <c r="Z43" s="1283"/>
      <c r="AA43" s="1283"/>
      <c r="AB43" s="1283"/>
      <c r="AC43" s="1283" t="s">
        <v>248</v>
      </c>
      <c r="AD43" s="1283" t="s">
        <v>249</v>
      </c>
      <c r="AE43" s="1283" t="s">
        <v>250</v>
      </c>
      <c r="AF43" s="1283" t="s">
        <v>251</v>
      </c>
      <c r="AG43" s="1283" t="s">
        <v>252</v>
      </c>
      <c r="AH43" s="1283" t="str">
        <f>IF($E$43=0,"",$E$43)</f>
        <v>Тарифы на услуги по передаче теплоносителя</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88">
        <f>$I$43</f>
        <v>0</v>
      </c>
      <c r="AO43" s="1283" t="str">
        <f>$I$43&amp;"."&amp;$M$43</f>
        <v>.</v>
      </c>
      <c r="AP43" s="1275" t="str">
        <f>$I$43&amp;"."&amp;$M$43&amp;"."&amp;$Q$43</f>
        <v>..</v>
      </c>
      <c r="AQ43" s="1275" t="str">
        <f>$I$43&amp;"."&amp;$M$43&amp;"."&amp;$Q$43&amp;"."&amp;$U$43</f>
        <v>...</v>
      </c>
      <c r="AR43" s="1299">
        <v>0</v>
      </c>
    </row>
    <row s="1869" customFormat="1" customHeight="1" ht="17.25">
      <c r="A44" s="337"/>
      <c r="C44" s="336"/>
      <c r="D44" s="2151"/>
      <c r="E44" s="2159"/>
      <c r="F44" s="2162"/>
      <c r="G44" s="2159"/>
      <c r="H44" s="2165"/>
      <c r="I44" s="2167"/>
      <c r="J44" s="2169"/>
      <c r="K44" s="2154"/>
      <c r="L44" s="2154"/>
      <c r="M44" s="2154"/>
      <c r="N44" s="2156"/>
      <c r="O44" s="2154"/>
      <c r="P44" s="2154"/>
      <c r="Q44" s="2154"/>
      <c r="R44" s="2157"/>
      <c r="S44" s="2154"/>
      <c r="T44" s="1313"/>
      <c r="U44" s="1313"/>
      <c r="V44" s="1313"/>
      <c r="W44" s="1314"/>
      <c r="X44" s="1275"/>
      <c r="Y44" s="1275"/>
      <c r="Z44" s="1275"/>
      <c r="AA44" s="1275"/>
      <c r="AB44" s="1275"/>
      <c r="AC44" s="1275"/>
      <c r="AD44" s="1275"/>
      <c r="AE44" s="1275"/>
      <c r="AF44" s="1275"/>
      <c r="AG44" s="1275"/>
      <c r="AH44" s="1275"/>
      <c r="AI44" s="1275"/>
      <c r="AJ44" s="1275"/>
      <c r="AK44" s="1275"/>
      <c r="AL44" s="1275"/>
      <c r="AM44" s="1275"/>
      <c r="AN44" s="1275"/>
      <c r="AO44" s="1275"/>
      <c r="AP44" s="1275"/>
      <c r="AQ44" s="1275"/>
      <c r="AR44" s="1299">
        <v>0</v>
      </c>
    </row>
    <row s="1869" customFormat="1" customHeight="1" ht="17.25">
      <c r="A45" s="337"/>
      <c r="C45" s="336"/>
      <c r="D45" s="2152"/>
      <c r="E45" s="2160"/>
      <c r="F45" s="2162"/>
      <c r="G45" s="2160"/>
      <c r="H45" s="2165"/>
      <c r="I45" s="2167"/>
      <c r="J45" s="2170"/>
      <c r="K45" s="2154"/>
      <c r="L45" s="2154"/>
      <c r="M45" s="2154"/>
      <c r="N45" s="2157"/>
      <c r="O45" s="2154"/>
      <c r="P45" s="1434"/>
      <c r="Q45" s="1313"/>
      <c r="R45" s="1313"/>
      <c r="S45" s="345"/>
      <c r="T45" s="345"/>
      <c r="U45" s="345"/>
      <c r="V45" s="345"/>
      <c r="W45" s="1314"/>
      <c r="X45" s="1275"/>
      <c r="Y45" s="1275"/>
      <c r="Z45" s="1275"/>
      <c r="AA45" s="1275"/>
      <c r="AB45" s="1275"/>
      <c r="AC45" s="1275"/>
      <c r="AD45" s="1275"/>
      <c r="AE45" s="1275"/>
      <c r="AF45" s="1275"/>
      <c r="AG45" s="1275"/>
      <c r="AH45" s="1275"/>
      <c r="AI45" s="1275"/>
      <c r="AJ45" s="1275"/>
      <c r="AK45" s="1275"/>
      <c r="AL45" s="1275"/>
      <c r="AM45" s="1275"/>
      <c r="AN45" s="1275"/>
      <c r="AO45" s="1275"/>
      <c r="AP45" s="1275"/>
      <c r="AQ45" s="1275"/>
      <c r="AR45" s="1299">
        <v>0</v>
      </c>
    </row>
    <row s="1869" customFormat="1" customHeight="1" ht="17.25">
      <c r="A46" s="337"/>
      <c r="C46" s="225"/>
      <c r="D46" s="2152"/>
      <c r="E46" s="2160"/>
      <c r="F46" s="2162"/>
      <c r="G46" s="2160"/>
      <c r="H46" s="2165"/>
      <c r="I46" s="2167"/>
      <c r="J46" s="2170"/>
      <c r="K46" s="2154"/>
      <c r="L46" s="1313"/>
      <c r="M46" s="1313"/>
      <c r="N46" s="1313"/>
      <c r="O46" s="1313"/>
      <c r="P46" s="1313"/>
      <c r="Q46" s="1313"/>
      <c r="R46" s="1313"/>
      <c r="S46" s="345"/>
      <c r="T46" s="345"/>
      <c r="U46" s="345"/>
      <c r="V46" s="345"/>
      <c r="W46" s="1314"/>
      <c r="Y46" s="1283"/>
      <c r="Z46" s="1283"/>
      <c r="AA46" s="1283"/>
      <c r="AB46" s="1283"/>
      <c r="AC46" s="1283"/>
      <c r="AD46" s="1283"/>
      <c r="AE46" s="1283"/>
      <c r="AF46" s="1283"/>
      <c r="AG46" s="1283"/>
      <c r="AH46" s="1283"/>
      <c r="AI46" s="1283"/>
      <c r="AJ46" s="1283"/>
      <c r="AK46" s="1283"/>
      <c r="AL46" s="1283"/>
      <c r="AM46" s="1283"/>
      <c r="AN46" s="1283"/>
      <c r="AO46" s="1283"/>
      <c r="AP46" s="1283"/>
      <c r="AQ46" s="1283"/>
      <c r="AR46" s="1342">
        <v>0</v>
      </c>
    </row>
    <row s="1869" customFormat="1" customHeight="1" ht="17.25">
      <c r="A47" s="337"/>
      <c r="C47" s="336"/>
      <c r="D47" s="2152"/>
      <c r="E47" s="2160"/>
      <c r="F47" s="2163"/>
      <c r="G47" s="2160"/>
      <c r="H47" s="1315"/>
      <c r="I47" s="1316"/>
      <c r="J47" s="1316"/>
      <c r="K47" s="1316"/>
      <c r="L47" s="1316"/>
      <c r="M47" s="1316"/>
      <c r="N47" s="1316"/>
      <c r="O47" s="1316"/>
      <c r="P47" s="1316"/>
      <c r="Q47" s="1316"/>
      <c r="R47" s="1316"/>
      <c r="S47" s="1317"/>
      <c r="T47" s="1317"/>
      <c r="U47" s="1317"/>
      <c r="V47" s="1317"/>
      <c r="W47" s="1318"/>
      <c r="X47" s="1275"/>
      <c r="Y47" s="1275"/>
      <c r="Z47" s="1275"/>
      <c r="AA47" s="1275"/>
      <c r="AB47" s="1275"/>
      <c r="AC47" s="1275"/>
      <c r="AD47" s="1275"/>
      <c r="AE47" s="1275"/>
      <c r="AF47" s="1275"/>
      <c r="AG47" s="1275"/>
      <c r="AH47" s="1275"/>
      <c r="AI47" s="1275"/>
      <c r="AJ47" s="1275"/>
      <c r="AK47" s="1275"/>
      <c r="AL47" s="1275"/>
      <c r="AM47" s="1275"/>
      <c r="AN47" s="1275"/>
      <c r="AO47" s="1275"/>
      <c r="AP47" s="1275"/>
      <c r="AQ47" s="1275"/>
      <c r="AR47" s="1299">
        <v>0</v>
      </c>
    </row>
    <row s="1869" customFormat="1" customHeight="1" ht="17.25">
      <c r="A48" s="337"/>
      <c r="C48" s="225"/>
      <c r="D48" s="2182">
        <v>7</v>
      </c>
      <c r="E48" s="2185" t="s">
        <v>253</v>
      </c>
      <c r="F48" s="2161" t="s">
        <v>19</v>
      </c>
      <c r="G48" s="2185"/>
      <c r="H48" s="2164"/>
      <c r="I48" s="2166"/>
      <c r="J48" s="2168"/>
      <c r="K48" s="2153"/>
      <c r="L48" s="2153"/>
      <c r="M48" s="2153"/>
      <c r="N48" s="2155"/>
      <c r="O48" s="2153"/>
      <c r="P48" s="2153"/>
      <c r="Q48" s="2153"/>
      <c r="R48" s="2158"/>
      <c r="S48" s="2153"/>
      <c r="T48" s="1436"/>
      <c r="U48" s="1436"/>
      <c r="V48" s="1435"/>
      <c r="W48" s="1312"/>
      <c r="X48" s="1283"/>
      <c r="Y48" s="1283"/>
      <c r="Z48" s="1283"/>
      <c r="AA48" s="1283"/>
      <c r="AB48" s="1283"/>
      <c r="AC48" s="1283" t="s">
        <v>254</v>
      </c>
      <c r="AD48" s="1283" t="s">
        <v>255</v>
      </c>
      <c r="AE48" s="1283" t="s">
        <v>256</v>
      </c>
      <c r="AF48" s="1283" t="s">
        <v>257</v>
      </c>
      <c r="AG48" s="1283" t="s">
        <v>258</v>
      </c>
      <c r="AH48" s="1283" t="str">
        <f>IF($E$48=0,"",$E$48)</f>
        <v>Плата за услуги по поддержанию резервной тепловой мощности при отсутствии потребления тепловой энергии</v>
      </c>
      <c r="AI48" s="1283" t="str">
        <f>IF($G$48=0,"",$G$48)</f>
        <v/>
      </c>
      <c r="AJ48" s="1283" t="str">
        <f>IF($J$48=0,"",$J$48)</f>
        <v/>
      </c>
      <c r="AK48" s="1283" t="str">
        <f>IF($K$48="нет","без дифференциации",IF($N$48=0,"",$N$48))</f>
        <v/>
      </c>
      <c r="AL48" s="1283" t="str">
        <f>IF($O$48="нет","без дифференциации",IF($R$48=0,"",$R$48))</f>
        <v/>
      </c>
      <c r="AM48" s="1283" t="str">
        <f>IF($S$48="нет","без дифференциации",IF($V$48=0,"",$V$48))</f>
        <v/>
      </c>
      <c r="AN48" s="1788">
        <f>$I$48</f>
        <v>0</v>
      </c>
      <c r="AO48" s="1283" t="str">
        <f>$I$48&amp;"."&amp;$M$48</f>
        <v>.</v>
      </c>
      <c r="AP48" s="1275" t="str">
        <f>$I$48&amp;"."&amp;$M$48&amp;"."&amp;$Q$48</f>
        <v>..</v>
      </c>
      <c r="AQ48" s="1275" t="str">
        <f>$I$48&amp;"."&amp;$M$48&amp;"."&amp;$Q$48&amp;"."&amp;$U$48</f>
        <v>...</v>
      </c>
      <c r="AR48" s="1324">
        <v>0</v>
      </c>
    </row>
    <row s="1869" customFormat="1" customHeight="1" ht="17.25">
      <c r="A49" s="337"/>
      <c r="C49" s="336"/>
      <c r="D49" s="2183"/>
      <c r="E49" s="2186"/>
      <c r="F49" s="2162"/>
      <c r="G49" s="2186"/>
      <c r="H49" s="2165"/>
      <c r="I49" s="2167"/>
      <c r="J49" s="2169"/>
      <c r="K49" s="2154"/>
      <c r="L49" s="2154"/>
      <c r="M49" s="2154"/>
      <c r="N49" s="2156"/>
      <c r="O49" s="2154"/>
      <c r="P49" s="2154"/>
      <c r="Q49" s="2154"/>
      <c r="R49" s="2157"/>
      <c r="S49" s="2154"/>
      <c r="T49" s="1313"/>
      <c r="U49" s="1313"/>
      <c r="V49" s="1313"/>
      <c r="W49" s="1314"/>
      <c r="X49" s="1275"/>
      <c r="Y49" s="1275"/>
      <c r="Z49" s="1275"/>
      <c r="AA49" s="1275"/>
      <c r="AB49" s="1275"/>
      <c r="AC49" s="1275"/>
      <c r="AD49" s="1275"/>
      <c r="AE49" s="1275"/>
      <c r="AF49" s="1275"/>
      <c r="AG49" s="1275"/>
      <c r="AH49" s="1275"/>
      <c r="AI49" s="1275"/>
      <c r="AJ49" s="1275"/>
      <c r="AK49" s="1275"/>
      <c r="AL49" s="1275"/>
      <c r="AM49" s="1275"/>
      <c r="AN49" s="1275"/>
      <c r="AO49" s="1275"/>
      <c r="AP49" s="1275"/>
      <c r="AQ49" s="1275"/>
      <c r="AR49" s="1324">
        <v>0</v>
      </c>
    </row>
    <row s="1869" customFormat="1" customHeight="1" ht="17.25">
      <c r="A50" s="337"/>
      <c r="C50" s="336"/>
      <c r="D50" s="2183"/>
      <c r="E50" s="2186"/>
      <c r="F50" s="2162"/>
      <c r="G50" s="2186"/>
      <c r="H50" s="2165"/>
      <c r="I50" s="2167"/>
      <c r="J50" s="2170"/>
      <c r="K50" s="2154"/>
      <c r="L50" s="2154"/>
      <c r="M50" s="2154"/>
      <c r="N50" s="2157"/>
      <c r="O50" s="2154"/>
      <c r="P50" s="1434"/>
      <c r="Q50" s="1313"/>
      <c r="R50" s="1313"/>
      <c r="S50" s="345"/>
      <c r="T50" s="345"/>
      <c r="U50" s="345"/>
      <c r="V50" s="345"/>
      <c r="W50" s="1314"/>
      <c r="X50" s="1275"/>
      <c r="Y50" s="1275"/>
      <c r="Z50" s="1275"/>
      <c r="AA50" s="1275"/>
      <c r="AB50" s="1275"/>
      <c r="AC50" s="1275"/>
      <c r="AD50" s="1275"/>
      <c r="AE50" s="1275"/>
      <c r="AF50" s="1275"/>
      <c r="AG50" s="1275"/>
      <c r="AH50" s="1275"/>
      <c r="AI50" s="1275"/>
      <c r="AJ50" s="1275"/>
      <c r="AK50" s="1275"/>
      <c r="AL50" s="1275"/>
      <c r="AM50" s="1275"/>
      <c r="AN50" s="1275"/>
      <c r="AO50" s="1275"/>
      <c r="AP50" s="1275"/>
      <c r="AQ50" s="1275"/>
      <c r="AR50" s="1324">
        <v>0</v>
      </c>
    </row>
    <row s="1869" customFormat="1" customHeight="1" ht="17.25">
      <c r="A51" s="337"/>
      <c r="C51" s="225"/>
      <c r="D51" s="2183"/>
      <c r="E51" s="2186"/>
      <c r="F51" s="2162"/>
      <c r="G51" s="2186"/>
      <c r="H51" s="2165"/>
      <c r="I51" s="2167"/>
      <c r="J51" s="2170"/>
      <c r="K51" s="2154"/>
      <c r="L51" s="1313"/>
      <c r="M51" s="1313"/>
      <c r="N51" s="1313"/>
      <c r="O51" s="1313"/>
      <c r="P51" s="1313"/>
      <c r="Q51" s="1313"/>
      <c r="R51" s="1313"/>
      <c r="S51" s="345"/>
      <c r="T51" s="345"/>
      <c r="U51" s="345"/>
      <c r="V51" s="345"/>
      <c r="W51" s="1314"/>
      <c r="Y51" s="1283"/>
      <c r="Z51" s="1283"/>
      <c r="AA51" s="1283"/>
      <c r="AB51" s="1283"/>
      <c r="AC51" s="1283"/>
      <c r="AD51" s="1283"/>
      <c r="AE51" s="1283"/>
      <c r="AF51" s="1283"/>
      <c r="AG51" s="1283"/>
      <c r="AH51" s="1283"/>
      <c r="AI51" s="1283"/>
      <c r="AJ51" s="1283"/>
      <c r="AK51" s="1283"/>
      <c r="AL51" s="1283"/>
      <c r="AM51" s="1283"/>
      <c r="AN51" s="1283"/>
      <c r="AO51" s="1283"/>
      <c r="AP51" s="1283"/>
      <c r="AQ51" s="1283"/>
      <c r="AR51" s="1342">
        <v>0</v>
      </c>
    </row>
    <row s="1869" customFormat="1" customHeight="1" ht="17.25">
      <c r="A52" s="337"/>
      <c r="C52" s="336"/>
      <c r="D52" s="2184"/>
      <c r="E52" s="2187"/>
      <c r="F52" s="2163"/>
      <c r="G52" s="2187"/>
      <c r="H52" s="1315"/>
      <c r="I52" s="1316"/>
      <c r="J52" s="1316"/>
      <c r="K52" s="1316"/>
      <c r="L52" s="1316"/>
      <c r="M52" s="1316"/>
      <c r="N52" s="1316"/>
      <c r="O52" s="1316"/>
      <c r="P52" s="1316"/>
      <c r="Q52" s="1316"/>
      <c r="R52" s="1316"/>
      <c r="S52" s="1317"/>
      <c r="T52" s="1317"/>
      <c r="U52" s="1317"/>
      <c r="V52" s="1317"/>
      <c r="W52" s="1318"/>
      <c r="X52" s="1275"/>
      <c r="Y52" s="1275"/>
      <c r="Z52" s="1275"/>
      <c r="AA52" s="1275"/>
      <c r="AB52" s="1275"/>
      <c r="AC52" s="1275"/>
      <c r="AD52" s="1275"/>
      <c r="AE52" s="1275"/>
      <c r="AF52" s="1275"/>
      <c r="AG52" s="1275"/>
      <c r="AH52" s="1275"/>
      <c r="AI52" s="1275"/>
      <c r="AJ52" s="1275"/>
      <c r="AK52" s="1275"/>
      <c r="AL52" s="1275"/>
      <c r="AM52" s="1275"/>
      <c r="AN52" s="1275"/>
      <c r="AO52" s="1275"/>
      <c r="AP52" s="1275"/>
      <c r="AQ52" s="1275"/>
      <c r="AR52" s="1324">
        <v>0</v>
      </c>
    </row>
    <row s="1869" customFormat="1" customHeight="1" ht="17.25">
      <c r="A53" s="337"/>
      <c r="C53" s="225"/>
      <c r="D53" s="2151">
        <v>8</v>
      </c>
      <c r="E53" s="2159" t="s">
        <v>259</v>
      </c>
      <c r="F53" s="2161" t="s">
        <v>64</v>
      </c>
      <c r="G53" s="2645" t="str">
        <f>INDEX(VD_NAME_LIST,MATCH("4190072",VD_ID_LIST,0))</f>
        <v>Подключение (технологическое присоединение) к системе теплоснабжения</v>
      </c>
      <c r="H53" s="2569"/>
      <c r="I53" s="2569">
        <v>1</v>
      </c>
      <c r="J53" s="2517" t="s">
        <v>260</v>
      </c>
      <c r="K53" s="2201" t="s">
        <v>64</v>
      </c>
      <c r="L53" s="2124"/>
      <c r="M53" s="2124" t="s">
        <v>141</v>
      </c>
      <c r="N53" s="2520" t="str">
        <f>IF(Z53="","",INDEX(TERRITORY_MR_LIST,MATCH(Z53,TERRITORY_LIST_ID,0)))</f>
        <v>Территория 1</v>
      </c>
      <c r="O53" s="2201" t="s">
        <v>64</v>
      </c>
      <c r="P53" s="2124"/>
      <c r="Q53" s="2124" t="s">
        <v>141</v>
      </c>
      <c r="R53" s="2587" t="s">
        <v>261</v>
      </c>
      <c r="S53" s="2123" t="s">
        <v>19</v>
      </c>
      <c r="T53" s="2124"/>
      <c r="U53" s="2124" t="s">
        <v>141</v>
      </c>
      <c r="V53" s="2646" t="s">
        <v>28</v>
      </c>
      <c r="W53" s="2517"/>
      <c r="X53" s="1283"/>
      <c r="Y53" s="1283"/>
      <c r="Z53" s="1283" t="s">
        <v>101</v>
      </c>
      <c r="AA53" s="1283"/>
      <c r="AB53" s="1283" t="s">
        <v>262</v>
      </c>
      <c r="AC53" s="1283" t="s">
        <v>263</v>
      </c>
      <c r="AD53" s="1283" t="s">
        <v>264</v>
      </c>
      <c r="AE53" s="1283" t="s">
        <v>265</v>
      </c>
      <c r="AF53" s="1283" t="s">
        <v>266</v>
      </c>
      <c r="AG53" s="1283" t="s">
        <v>267</v>
      </c>
      <c r="AH53" s="1283" t="str">
        <f>IF($E$53=0,"",$E$53)</f>
        <v>Плата за подключение (технологическое присоединение) к системе теплоснабжения</v>
      </c>
      <c r="AI53" s="1283" t="str">
        <f>IF($G$53=0,"",$G$53)</f>
        <v>Подключение (технологическое присоединение) к системе теплоснабжения</v>
      </c>
      <c r="AJ53" s="1283" t="str">
        <f>IF($J$53=0,"",$J$53)</f>
        <v>Расходы на проведение мероприятий по подключению объектов заявителей</v>
      </c>
      <c r="AK53" s="1283" t="str">
        <f>IF($K$53="нет","без дифференциации",IF($N$53=0,"",$N$53))</f>
        <v>Территория 1</v>
      </c>
      <c r="AL53" s="1283" t="str">
        <f>IF($O$53="нет","без дифференциации",IF($R$53=0,"",$R$53))</f>
        <v>кп Горные Ключи Кировского муниципального округа</v>
      </c>
      <c r="AM53" s="1283" t="str">
        <f>IF($S$53="нет","без дифференциации",IF($V$53=0,"",$V$53))</f>
        <v>без дифференциации</v>
      </c>
      <c r="AN53" s="1788">
        <f>$I$53</f>
        <v>1</v>
      </c>
      <c r="AO53" s="1283" t="str">
        <f>$I$53&amp;"."&amp;$M$53</f>
        <v>1.1</v>
      </c>
      <c r="AP53" s="1275" t="str">
        <f>$I$53&amp;"."&amp;$M$53&amp;"."&amp;$Q$53</f>
        <v>1.1.1</v>
      </c>
      <c r="AQ53" s="1275" t="str">
        <f>$I$53&amp;"."&amp;$M$53&amp;"."&amp;$Q$53&amp;"."&amp;$U$53</f>
        <v>1.1.1.1</v>
      </c>
      <c r="AR53" s="1324">
        <v>0</v>
      </c>
    </row>
    <row s="1869" customFormat="1" customHeight="1" ht="17.25">
      <c r="A54" s="337"/>
      <c r="C54" s="336"/>
      <c r="D54" s="2151"/>
      <c r="E54" s="2159"/>
      <c r="F54" s="2162"/>
      <c r="G54" s="2645"/>
      <c r="H54" s="2569"/>
      <c r="I54" s="2569"/>
      <c r="J54" s="2517"/>
      <c r="K54" s="2202"/>
      <c r="L54" s="2124"/>
      <c r="M54" s="2124"/>
      <c r="N54" s="2520"/>
      <c r="O54" s="2202"/>
      <c r="P54" s="2124"/>
      <c r="Q54" s="2124"/>
      <c r="R54" s="2587"/>
      <c r="S54" s="2123"/>
      <c r="T54" s="2647"/>
      <c r="U54" s="2648"/>
      <c r="V54" s="2649" t="s">
        <v>268</v>
      </c>
      <c r="W54" s="2650"/>
      <c r="X54" s="1275"/>
      <c r="Y54" s="1275"/>
      <c r="Z54" s="1275"/>
      <c r="AA54" s="1275"/>
      <c r="AB54" s="1275"/>
      <c r="AC54" s="1275"/>
      <c r="AD54" s="1275"/>
      <c r="AE54" s="1275"/>
      <c r="AF54" s="1275"/>
      <c r="AG54" s="1275"/>
      <c r="AH54" s="1275"/>
      <c r="AI54" s="1275"/>
      <c r="AJ54" s="1275"/>
      <c r="AK54" s="1275"/>
      <c r="AL54" s="1275"/>
      <c r="AM54" s="1275"/>
      <c r="AN54" s="1275"/>
      <c r="AO54" s="1275"/>
      <c r="AP54" s="1275"/>
      <c r="AQ54" s="1275"/>
      <c r="AR54" s="1324">
        <v>0</v>
      </c>
    </row>
    <row s="1869" customFormat="1" customHeight="1" ht="17.25">
      <c r="A55" s="337"/>
      <c r="C55" s="336"/>
      <c r="D55" s="2152"/>
      <c r="E55" s="2160"/>
      <c r="F55" s="2162"/>
      <c r="G55" s="2651"/>
      <c r="H55" s="2519"/>
      <c r="I55" s="2519"/>
      <c r="J55" s="2549"/>
      <c r="K55" s="2202"/>
      <c r="L55" s="2519"/>
      <c r="M55" s="2519"/>
      <c r="N55" s="2521"/>
      <c r="O55" s="2128"/>
      <c r="P55" s="2652"/>
      <c r="Q55" s="2653"/>
      <c r="R55" s="2654" t="s">
        <v>269</v>
      </c>
      <c r="S55" s="2655"/>
      <c r="T55" s="2656"/>
      <c r="U55" s="2657"/>
      <c r="V55" s="2658"/>
      <c r="W55" s="2659"/>
      <c r="X55" s="1275"/>
      <c r="Y55" s="1275"/>
      <c r="Z55" s="1275"/>
      <c r="AA55" s="1275"/>
      <c r="AB55" s="1275"/>
      <c r="AC55" s="1275"/>
      <c r="AD55" s="1275"/>
      <c r="AE55" s="1275"/>
      <c r="AF55" s="1275"/>
      <c r="AG55" s="1275"/>
      <c r="AH55" s="1275"/>
      <c r="AI55" s="1275"/>
      <c r="AJ55" s="1275"/>
      <c r="AK55" s="1275"/>
      <c r="AL55" s="1275"/>
      <c r="AM55" s="1275"/>
      <c r="AN55" s="1275"/>
      <c r="AO55" s="1275"/>
      <c r="AP55" s="1275"/>
      <c r="AQ55" s="1275"/>
      <c r="AR55" s="1324">
        <v>0</v>
      </c>
    </row>
    <row customHeight="1" ht="17.25">
      <c r="A56" s="1856"/>
      <c r="B56" s="1869"/>
      <c r="C56" s="1858"/>
      <c r="D56" s="1846"/>
      <c r="E56" s="1863"/>
      <c r="F56" s="1800"/>
      <c r="G56" s="1864"/>
      <c r="H56" s="1846"/>
      <c r="I56" s="1846"/>
      <c r="J56" s="1865"/>
      <c r="K56" s="1776"/>
      <c r="L56" s="2124" t="s">
        <v>108</v>
      </c>
      <c r="M56" s="2124" t="s">
        <v>107</v>
      </c>
      <c r="N56" s="2520" t="str">
        <f>IF(Z56="","",INDEX(TERRITORY_MR_LIST,MATCH(Z56,TERRITORY_LIST_ID,0)))</f>
        <v>Территория 2</v>
      </c>
      <c r="O56" s="2201" t="s">
        <v>64</v>
      </c>
      <c r="P56" s="2124"/>
      <c r="Q56" s="2124" t="s">
        <v>141</v>
      </c>
      <c r="R56" s="2518" t="s">
        <v>111</v>
      </c>
      <c r="S56" s="2123" t="s">
        <v>19</v>
      </c>
      <c r="T56" s="1827"/>
      <c r="U56" s="1827" t="s">
        <v>141</v>
      </c>
      <c r="V56" s="2660" t="s">
        <v>28</v>
      </c>
      <c r="W56" s="1817"/>
      <c r="X56" s="1869"/>
      <c r="Y56" s="1283"/>
      <c r="Z56" s="1283" t="s">
        <v>109</v>
      </c>
      <c r="AA56" s="1283"/>
      <c r="AB56" s="1283"/>
      <c r="AC56" s="1990" t="s">
        <v>263</v>
      </c>
      <c r="AD56" s="1990" t="s">
        <v>264</v>
      </c>
      <c r="AE56" s="1283" t="s">
        <v>270</v>
      </c>
      <c r="AF56" s="1283" t="s">
        <v>271</v>
      </c>
      <c r="AG56" s="1283" t="s">
        <v>272</v>
      </c>
      <c r="AH56" s="1283" t="str">
        <f>IF($E$53=0,"",$E$53)</f>
        <v>Плата за подключение (технологическое присоединение) к системе теплоснабжения</v>
      </c>
      <c r="AI56" s="1283" t="str">
        <f>IF($G$53=0,"",$G$53)</f>
        <v>Подключение (технологическое присоединение) к системе теплоснабжения</v>
      </c>
      <c r="AJ56" s="1283" t="str">
        <f>IF($J$53=0,"",$J$53)</f>
        <v>Расходы на проведение мероприятий по подключению объектов заявителей</v>
      </c>
      <c r="AK56" s="1283" t="str">
        <f>IF($K$56="нет","без дифференциации",IF($N$56=0,"",$N$56))</f>
        <v>Территория 2</v>
      </c>
      <c r="AL56" s="1860" t="str">
        <f>IF($O$56="нет","без дифференциации",IF($R$56=0,"",$R$56))</f>
        <v>Хасанский муниципальный округ</v>
      </c>
      <c r="AM56" s="1860" t="str">
        <f>IF($S$56="нет","без дифференциации",IF($V$56=0,"",$V$56))</f>
        <v>без дифференциации</v>
      </c>
      <c r="AN56" s="1283">
        <f>$I$53</f>
        <v>1</v>
      </c>
      <c r="AO56" s="1283" t="str">
        <f>$I$53&amp;"."&amp;$M$56</f>
        <v>1.2</v>
      </c>
      <c r="AP56" s="1283" t="str">
        <f>$I$53&amp;"."&amp;$M$56&amp;"."&amp;$Q$56</f>
        <v>1.2.1</v>
      </c>
      <c r="AQ56" s="1283" t="str">
        <f>$I$53&amp;"."&amp;$M$56&amp;"."&amp;$Q$56&amp;"."&amp;$U$56</f>
        <v>1.2.1.1</v>
      </c>
      <c r="AR56" s="1869"/>
    </row>
    <row customHeight="1" ht="17.25">
      <c r="A57" s="1856"/>
      <c r="B57" s="1869"/>
      <c r="C57" s="1861"/>
      <c r="D57" s="1846"/>
      <c r="E57" s="1863"/>
      <c r="F57" s="1800"/>
      <c r="G57" s="1864"/>
      <c r="H57" s="1846"/>
      <c r="I57" s="1846"/>
      <c r="J57" s="1865"/>
      <c r="K57" s="1776"/>
      <c r="L57" s="2124"/>
      <c r="M57" s="2124"/>
      <c r="N57" s="2520"/>
      <c r="O57" s="2202"/>
      <c r="P57" s="2124"/>
      <c r="Q57" s="2124"/>
      <c r="R57" s="2518"/>
      <c r="S57" s="2123"/>
      <c r="T57" s="333"/>
      <c r="U57" s="334"/>
      <c r="V57" s="334" t="s">
        <v>268</v>
      </c>
      <c r="W57" s="335"/>
      <c r="X57" s="1869"/>
      <c r="Y57" s="1275"/>
      <c r="Z57" s="1275"/>
      <c r="AA57" s="1275"/>
      <c r="AB57" s="1275"/>
      <c r="AC57" s="1275"/>
      <c r="AD57" s="1275"/>
      <c r="AE57" s="1275"/>
      <c r="AF57" s="1275"/>
      <c r="AG57" s="1275"/>
      <c r="AH57" s="1275"/>
      <c r="AI57" s="1275"/>
      <c r="AJ57" s="1275"/>
      <c r="AK57" s="1275"/>
      <c r="AL57" s="1869"/>
      <c r="AM57" s="1869"/>
      <c r="AN57" s="1869"/>
      <c r="AO57" s="1869"/>
      <c r="AP57" s="1869"/>
      <c r="AQ57" s="1869"/>
      <c r="AR57" s="1869"/>
    </row>
    <row customHeight="1" ht="17.25">
      <c r="A58" s="1856"/>
      <c r="B58" s="1869"/>
      <c r="C58" s="1861"/>
      <c r="D58" s="1846"/>
      <c r="E58" s="1863"/>
      <c r="F58" s="1800"/>
      <c r="G58" s="1864"/>
      <c r="H58" s="1846"/>
      <c r="I58" s="1846"/>
      <c r="J58" s="1865"/>
      <c r="K58" s="1776"/>
      <c r="L58" s="2519"/>
      <c r="M58" s="2519"/>
      <c r="N58" s="2521"/>
      <c r="O58" s="2128"/>
      <c r="P58" s="333"/>
      <c r="Q58" s="334"/>
      <c r="R58" s="334" t="s">
        <v>269</v>
      </c>
      <c r="S58" s="1862"/>
      <c r="T58" s="1862"/>
      <c r="U58" s="1862"/>
      <c r="V58" s="1862"/>
      <c r="W58" s="335"/>
      <c r="X58" s="1869"/>
      <c r="Y58" s="1275"/>
      <c r="Z58" s="1275"/>
      <c r="AA58" s="1275"/>
      <c r="AB58" s="1275"/>
      <c r="AC58" s="1275"/>
      <c r="AD58" s="1275"/>
      <c r="AE58" s="1275"/>
      <c r="AF58" s="1275"/>
      <c r="AG58" s="1275"/>
      <c r="AH58" s="1275"/>
      <c r="AI58" s="1275"/>
      <c r="AJ58" s="1275"/>
      <c r="AK58" s="1275"/>
      <c r="AL58" s="1869"/>
      <c r="AM58" s="1869"/>
      <c r="AN58" s="1869"/>
      <c r="AO58" s="1869"/>
      <c r="AP58" s="1869"/>
      <c r="AQ58" s="1869"/>
      <c r="AR58" s="1869"/>
    </row>
    <row customHeight="1" ht="17.25">
      <c r="A59" s="1856"/>
      <c r="B59" s="1869"/>
      <c r="C59" s="1858"/>
      <c r="D59" s="1846"/>
      <c r="E59" s="1863"/>
      <c r="F59" s="1800"/>
      <c r="G59" s="1864"/>
      <c r="H59" s="1846"/>
      <c r="I59" s="1846"/>
      <c r="J59" s="1865"/>
      <c r="K59" s="1776"/>
      <c r="L59" s="2124" t="s">
        <v>108</v>
      </c>
      <c r="M59" s="2124" t="s">
        <v>93</v>
      </c>
      <c r="N59" s="2520" t="str">
        <f>IF(Z59="","",INDEX(TERRITORY_MR_LIST,MATCH(Z59,TERRITORY_LIST_ID,0)))</f>
        <v>Территория 3</v>
      </c>
      <c r="O59" s="2201" t="s">
        <v>64</v>
      </c>
      <c r="P59" s="2124"/>
      <c r="Q59" s="2124" t="s">
        <v>141</v>
      </c>
      <c r="R59" s="2518" t="s">
        <v>273</v>
      </c>
      <c r="S59" s="2123" t="s">
        <v>19</v>
      </c>
      <c r="T59" s="1827"/>
      <c r="U59" s="1827" t="s">
        <v>141</v>
      </c>
      <c r="V59" s="2867" t="s">
        <v>28</v>
      </c>
      <c r="W59" s="1817"/>
      <c r="X59" s="1869"/>
      <c r="Y59" s="1283"/>
      <c r="Z59" s="1283" t="s">
        <v>113</v>
      </c>
      <c r="AA59" s="1283"/>
      <c r="AB59" s="1283"/>
      <c r="AC59" s="1990" t="s">
        <v>263</v>
      </c>
      <c r="AD59" s="1990" t="s">
        <v>264</v>
      </c>
      <c r="AE59" s="1283" t="s">
        <v>274</v>
      </c>
      <c r="AF59" s="1283" t="s">
        <v>275</v>
      </c>
      <c r="AG59" s="1283" t="s">
        <v>276</v>
      </c>
      <c r="AH59" s="1283" t="str">
        <f>IF($E$53=0,"",$E$53)</f>
        <v>Плата за подключение (технологическое присоединение) к системе теплоснабжения</v>
      </c>
      <c r="AI59" s="1283" t="str">
        <f>IF($G$53=0,"",$G$53)</f>
        <v>Подключение (технологическое присоединение) к системе теплоснабжения</v>
      </c>
      <c r="AJ59" s="1283" t="str">
        <f>IF($J$53=0,"",$J$53)</f>
        <v>Расходы на проведение мероприятий по подключению объектов заявителей</v>
      </c>
      <c r="AK59" s="1283" t="str">
        <f>IF($K$59="нет","без дифференциации",IF($N$59=0,"",$N$59))</f>
        <v>Территория 3</v>
      </c>
      <c r="AL59" s="1860" t="str">
        <f>IF($O$59="нет","без дифференциации",IF($R$59=0,"",$R$59))</f>
        <v>п. Рудный Кавалеровский муниципальный округ
</v>
      </c>
      <c r="AM59" s="1860" t="str">
        <f>IF($S$59="нет","без дифференциации",IF($V$59=0,"",$V$59))</f>
        <v>без дифференциации</v>
      </c>
      <c r="AN59" s="1283">
        <f>$I$53</f>
        <v>1</v>
      </c>
      <c r="AO59" s="1283" t="str">
        <f>$I$53&amp;"."&amp;$M$59</f>
        <v>1.3</v>
      </c>
      <c r="AP59" s="1283" t="str">
        <f>$I$53&amp;"."&amp;$M$59&amp;"."&amp;$Q$59</f>
        <v>1.3.1</v>
      </c>
      <c r="AQ59" s="1283" t="str">
        <f>$I$53&amp;"."&amp;$M$59&amp;"."&amp;$Q$59&amp;"."&amp;$U$59</f>
        <v>1.3.1.1</v>
      </c>
      <c r="AR59" s="1869"/>
    </row>
    <row customHeight="1" ht="17.25">
      <c r="A60" s="1856"/>
      <c r="B60" s="1869"/>
      <c r="C60" s="1861"/>
      <c r="D60" s="1846"/>
      <c r="E60" s="1863"/>
      <c r="F60" s="1800"/>
      <c r="G60" s="1864"/>
      <c r="H60" s="1846"/>
      <c r="I60" s="1846"/>
      <c r="J60" s="1865"/>
      <c r="K60" s="1776"/>
      <c r="L60" s="2124"/>
      <c r="M60" s="2124"/>
      <c r="N60" s="2520"/>
      <c r="O60" s="2202"/>
      <c r="P60" s="2124"/>
      <c r="Q60" s="2124"/>
      <c r="R60" s="2518"/>
      <c r="S60" s="2123"/>
      <c r="T60" s="333"/>
      <c r="U60" s="334"/>
      <c r="V60" s="334" t="s">
        <v>268</v>
      </c>
      <c r="W60" s="335"/>
      <c r="X60" s="1869"/>
      <c r="Y60" s="1275"/>
      <c r="Z60" s="1275"/>
      <c r="AA60" s="1275"/>
      <c r="AB60" s="1275"/>
      <c r="AC60" s="1275"/>
      <c r="AD60" s="1275"/>
      <c r="AE60" s="1275"/>
      <c r="AF60" s="1275"/>
      <c r="AG60" s="1275"/>
      <c r="AH60" s="1275"/>
      <c r="AI60" s="1275"/>
      <c r="AJ60" s="1275"/>
      <c r="AK60" s="1275"/>
      <c r="AL60" s="1869"/>
      <c r="AM60" s="1869"/>
      <c r="AN60" s="1869"/>
      <c r="AO60" s="1869"/>
      <c r="AP60" s="1869"/>
      <c r="AQ60" s="1869"/>
      <c r="AR60" s="1869"/>
    </row>
    <row customHeight="1" ht="17.25">
      <c r="A61" s="1856"/>
      <c r="B61" s="1869"/>
      <c r="C61" s="1858"/>
      <c r="D61" s="1846"/>
      <c r="E61" s="1863"/>
      <c r="F61" s="1800"/>
      <c r="G61" s="1864"/>
      <c r="H61" s="1846"/>
      <c r="I61" s="1846"/>
      <c r="J61" s="1865"/>
      <c r="K61" s="1776"/>
      <c r="L61" s="1772"/>
      <c r="M61" s="1772"/>
      <c r="N61" s="2064"/>
      <c r="O61" s="1803"/>
      <c r="P61" s="2124" t="s">
        <v>108</v>
      </c>
      <c r="Q61" s="2124" t="s">
        <v>107</v>
      </c>
      <c r="R61" s="2518" t="s">
        <v>277</v>
      </c>
      <c r="S61" s="2123" t="s">
        <v>19</v>
      </c>
      <c r="T61" s="1827"/>
      <c r="U61" s="1827" t="s">
        <v>141</v>
      </c>
      <c r="V61" s="3239" t="s">
        <v>28</v>
      </c>
      <c r="W61" s="1817"/>
      <c r="X61" s="1869"/>
      <c r="Y61" s="1283"/>
      <c r="Z61" s="1283"/>
      <c r="AA61" s="1283"/>
      <c r="AB61" s="1283"/>
      <c r="AC61" s="1990" t="s">
        <v>263</v>
      </c>
      <c r="AD61" s="1990" t="s">
        <v>264</v>
      </c>
      <c r="AE61" s="1990" t="s">
        <v>274</v>
      </c>
      <c r="AF61" s="1283" t="s">
        <v>278</v>
      </c>
      <c r="AG61" s="1283" t="s">
        <v>279</v>
      </c>
      <c r="AH61" s="1283" t="str">
        <f>IF($E$53=0,"",$E$53)</f>
        <v>Плата за подключение (технологическое присоединение) к системе теплоснабжения</v>
      </c>
      <c r="AI61" s="1283" t="str">
        <f>IF($G$53=0,"",$G$53)</f>
        <v>Подключение (технологическое присоединение) к системе теплоснабжения</v>
      </c>
      <c r="AJ61" s="1283" t="str">
        <f>IF($J$53=0,"",$J$53)</f>
        <v>Расходы на проведение мероприятий по подключению объектов заявителей</v>
      </c>
      <c r="AK61" s="1283" t="str">
        <f>IF($K$59="нет","без дифференциации",IF($N$59=0,"",$N$59))</f>
        <v>Территория 3</v>
      </c>
      <c r="AL61" s="1860" t="str">
        <f>IF($O$61="нет","без дифференциации",IF($R$61=0,"",$R$61))</f>
        <v>пгт. Кавалерово Кавалеровский муниципальный округ</v>
      </c>
      <c r="AM61" s="1860" t="str">
        <f>IF($S$61="нет","без дифференциации",IF($V$61=0,"",$V$61))</f>
        <v>без дифференциации</v>
      </c>
      <c r="AN61" s="1283">
        <f>$I$53</f>
        <v>1</v>
      </c>
      <c r="AO61" s="1283" t="str">
        <f>$I$53&amp;"."&amp;$M$59</f>
        <v>1.3</v>
      </c>
      <c r="AP61" s="1283" t="str">
        <f>$I$53&amp;"."&amp;$M$59&amp;"."&amp;$Q$61</f>
        <v>1.3.2</v>
      </c>
      <c r="AQ61" s="1283" t="str">
        <f>$I$53&amp;"."&amp;$M$59&amp;"."&amp;$Q$61&amp;"."&amp;$U$61</f>
        <v>1.3.2.1</v>
      </c>
      <c r="AR61" s="1869"/>
    </row>
    <row customHeight="1" ht="17.25">
      <c r="A62" s="1856"/>
      <c r="B62" s="1869"/>
      <c r="C62" s="1861"/>
      <c r="D62" s="1846"/>
      <c r="E62" s="1863"/>
      <c r="F62" s="1800"/>
      <c r="G62" s="1864"/>
      <c r="H62" s="1846"/>
      <c r="I62" s="1846"/>
      <c r="J62" s="1865"/>
      <c r="K62" s="1776"/>
      <c r="L62" s="1772"/>
      <c r="M62" s="1772"/>
      <c r="N62" s="2064"/>
      <c r="O62" s="1803"/>
      <c r="P62" s="2124"/>
      <c r="Q62" s="2124"/>
      <c r="R62" s="2518"/>
      <c r="S62" s="2123"/>
      <c r="T62" s="333"/>
      <c r="U62" s="334"/>
      <c r="V62" s="334" t="s">
        <v>268</v>
      </c>
      <c r="W62" s="335"/>
      <c r="X62" s="1869"/>
      <c r="Y62" s="1275"/>
      <c r="Z62" s="1275"/>
      <c r="AA62" s="1275"/>
      <c r="AB62" s="1275"/>
      <c r="AC62" s="1275"/>
      <c r="AD62" s="1275"/>
      <c r="AE62" s="1275"/>
      <c r="AF62" s="1275"/>
      <c r="AG62" s="1275"/>
      <c r="AH62" s="1275"/>
      <c r="AI62" s="1275"/>
      <c r="AJ62" s="1275"/>
      <c r="AK62" s="1275"/>
      <c r="AL62" s="1869"/>
      <c r="AM62" s="1869"/>
      <c r="AN62" s="1869"/>
      <c r="AO62" s="1869"/>
      <c r="AP62" s="1869"/>
      <c r="AQ62" s="1869"/>
      <c r="AR62" s="1869"/>
    </row>
    <row customHeight="1" ht="17.25">
      <c r="A63" s="1856"/>
      <c r="B63" s="1869"/>
      <c r="C63" s="1861"/>
      <c r="D63" s="1846"/>
      <c r="E63" s="1863"/>
      <c r="F63" s="1800"/>
      <c r="G63" s="1864"/>
      <c r="H63" s="1846"/>
      <c r="I63" s="1846"/>
      <c r="J63" s="1865"/>
      <c r="K63" s="1776"/>
      <c r="L63" s="2519"/>
      <c r="M63" s="2519"/>
      <c r="N63" s="2521"/>
      <c r="O63" s="2128"/>
      <c r="P63" s="333"/>
      <c r="Q63" s="334"/>
      <c r="R63" s="334" t="s">
        <v>269</v>
      </c>
      <c r="S63" s="1862"/>
      <c r="T63" s="1862"/>
      <c r="U63" s="1862"/>
      <c r="V63" s="1862"/>
      <c r="W63" s="335"/>
      <c r="X63" s="1869"/>
      <c r="Y63" s="1275"/>
      <c r="Z63" s="1275"/>
      <c r="AA63" s="1275"/>
      <c r="AB63" s="1275"/>
      <c r="AC63" s="1275"/>
      <c r="AD63" s="1275"/>
      <c r="AE63" s="1275"/>
      <c r="AF63" s="1275"/>
      <c r="AG63" s="1275"/>
      <c r="AH63" s="1275"/>
      <c r="AI63" s="1275"/>
      <c r="AJ63" s="1275"/>
      <c r="AK63" s="1275"/>
      <c r="AL63" s="1869"/>
      <c r="AM63" s="1869"/>
      <c r="AN63" s="1869"/>
      <c r="AO63" s="1869"/>
      <c r="AP63" s="1869"/>
      <c r="AQ63" s="1869"/>
      <c r="AR63" s="1869"/>
    </row>
    <row customHeight="1" ht="17.25">
      <c r="A64" s="1856"/>
      <c r="B64" s="1869"/>
      <c r="C64" s="1858"/>
      <c r="D64" s="1846"/>
      <c r="E64" s="1863"/>
      <c r="F64" s="1800"/>
      <c r="G64" s="1864"/>
      <c r="H64" s="1846"/>
      <c r="I64" s="1846"/>
      <c r="J64" s="1865"/>
      <c r="K64" s="1776"/>
      <c r="L64" s="2124" t="s">
        <v>108</v>
      </c>
      <c r="M64" s="2124" t="s">
        <v>94</v>
      </c>
      <c r="N64" s="2520" t="str">
        <f>IF(Z64="","",INDEX(TERRITORY_MR_LIST,MATCH(Z64,TERRITORY_LIST_ID,0)))</f>
        <v>Территория 4</v>
      </c>
      <c r="O64" s="2201" t="s">
        <v>64</v>
      </c>
      <c r="P64" s="2124"/>
      <c r="Q64" s="2124" t="s">
        <v>141</v>
      </c>
      <c r="R64" s="2518" t="s">
        <v>280</v>
      </c>
      <c r="S64" s="2123" t="s">
        <v>19</v>
      </c>
      <c r="T64" s="1827"/>
      <c r="U64" s="1827" t="s">
        <v>141</v>
      </c>
      <c r="V64" s="3016" t="s">
        <v>28</v>
      </c>
      <c r="W64" s="1817"/>
      <c r="X64" s="1869"/>
      <c r="Y64" s="1283"/>
      <c r="Z64" s="1283" t="s">
        <v>117</v>
      </c>
      <c r="AA64" s="1283"/>
      <c r="AB64" s="1283"/>
      <c r="AC64" s="1990" t="s">
        <v>263</v>
      </c>
      <c r="AD64" s="1990" t="s">
        <v>264</v>
      </c>
      <c r="AE64" s="1283" t="s">
        <v>281</v>
      </c>
      <c r="AF64" s="1283" t="s">
        <v>282</v>
      </c>
      <c r="AG64" s="1283" t="s">
        <v>283</v>
      </c>
      <c r="AH64" s="1283" t="str">
        <f>IF($E$53=0,"",$E$53)</f>
        <v>Плата за подключение (технологическое присоединение) к системе теплоснабжения</v>
      </c>
      <c r="AI64" s="1283" t="str">
        <f>IF($G$53=0,"",$G$53)</f>
        <v>Подключение (технологическое присоединение) к системе теплоснабжения</v>
      </c>
      <c r="AJ64" s="1283" t="str">
        <f>IF($J$53=0,"",$J$53)</f>
        <v>Расходы на проведение мероприятий по подключению объектов заявителей</v>
      </c>
      <c r="AK64" s="1283" t="str">
        <f>IF($K$64="нет","без дифференциации",IF($N$64=0,"",$N$64))</f>
        <v>Территория 4</v>
      </c>
      <c r="AL64" s="1860" t="str">
        <f>IF($O$64="нет","без дифференциации",IF($R$64=0,"",$R$64))</f>
        <v>Рощинское сельское поселение с. Рощино</v>
      </c>
      <c r="AM64" s="1860" t="str">
        <f>IF($S$64="нет","без дифференциации",IF($V$64=0,"",$V$64))</f>
        <v>без дифференциации</v>
      </c>
      <c r="AN64" s="1283">
        <f>$I$53</f>
        <v>1</v>
      </c>
      <c r="AO64" s="1283" t="str">
        <f>$I$53&amp;"."&amp;$M$64</f>
        <v>1.4</v>
      </c>
      <c r="AP64" s="1283" t="str">
        <f>$I$53&amp;"."&amp;$M$64&amp;"."&amp;$Q$64</f>
        <v>1.4.1</v>
      </c>
      <c r="AQ64" s="1283" t="str">
        <f>$I$53&amp;"."&amp;$M$64&amp;"."&amp;$Q$64&amp;"."&amp;$U$64</f>
        <v>1.4.1.1</v>
      </c>
      <c r="AR64" s="1869"/>
    </row>
    <row customHeight="1" ht="17.25">
      <c r="A65" s="1856"/>
      <c r="B65" s="1869"/>
      <c r="C65" s="1861"/>
      <c r="D65" s="1846"/>
      <c r="E65" s="1863"/>
      <c r="F65" s="1800"/>
      <c r="G65" s="1864"/>
      <c r="H65" s="1846"/>
      <c r="I65" s="1846"/>
      <c r="J65" s="1865"/>
      <c r="K65" s="1776"/>
      <c r="L65" s="2124"/>
      <c r="M65" s="2124"/>
      <c r="N65" s="2520"/>
      <c r="O65" s="2202"/>
      <c r="P65" s="2124"/>
      <c r="Q65" s="2124"/>
      <c r="R65" s="2518"/>
      <c r="S65" s="2123"/>
      <c r="T65" s="333"/>
      <c r="U65" s="334"/>
      <c r="V65" s="334" t="s">
        <v>268</v>
      </c>
      <c r="W65" s="335"/>
      <c r="X65" s="1869"/>
      <c r="Y65" s="1275"/>
      <c r="Z65" s="1275"/>
      <c r="AA65" s="1275"/>
      <c r="AB65" s="1275"/>
      <c r="AC65" s="1275"/>
      <c r="AD65" s="1275"/>
      <c r="AE65" s="1275"/>
      <c r="AF65" s="1275"/>
      <c r="AG65" s="1275"/>
      <c r="AH65" s="1275"/>
      <c r="AI65" s="1275"/>
      <c r="AJ65" s="1275"/>
      <c r="AK65" s="1275"/>
      <c r="AL65" s="1869"/>
      <c r="AM65" s="1869"/>
      <c r="AN65" s="1869"/>
      <c r="AO65" s="1869"/>
      <c r="AP65" s="1869"/>
      <c r="AQ65" s="1869"/>
      <c r="AR65" s="1869"/>
    </row>
    <row customHeight="1" ht="17.25">
      <c r="A66" s="1856"/>
      <c r="B66" s="1869"/>
      <c r="C66" s="1861"/>
      <c r="D66" s="1846"/>
      <c r="E66" s="1863"/>
      <c r="F66" s="1800"/>
      <c r="G66" s="1864"/>
      <c r="H66" s="1846"/>
      <c r="I66" s="1846"/>
      <c r="J66" s="1865"/>
      <c r="K66" s="1776"/>
      <c r="L66" s="2519"/>
      <c r="M66" s="2519"/>
      <c r="N66" s="2521"/>
      <c r="O66" s="2128"/>
      <c r="P66" s="333"/>
      <c r="Q66" s="334"/>
      <c r="R66" s="334" t="s">
        <v>269</v>
      </c>
      <c r="S66" s="1862"/>
      <c r="T66" s="1862"/>
      <c r="U66" s="1862"/>
      <c r="V66" s="1862"/>
      <c r="W66" s="335"/>
      <c r="X66" s="1869"/>
      <c r="Y66" s="1275"/>
      <c r="Z66" s="1275"/>
      <c r="AA66" s="1275"/>
      <c r="AB66" s="1275"/>
      <c r="AC66" s="1275"/>
      <c r="AD66" s="1275"/>
      <c r="AE66" s="1275"/>
      <c r="AF66" s="1275"/>
      <c r="AG66" s="1275"/>
      <c r="AH66" s="1275"/>
      <c r="AI66" s="1275"/>
      <c r="AJ66" s="1275"/>
      <c r="AK66" s="1275"/>
      <c r="AL66" s="1869"/>
      <c r="AM66" s="1869"/>
      <c r="AN66" s="1869"/>
      <c r="AO66" s="1869"/>
      <c r="AP66" s="1869"/>
      <c r="AQ66" s="1869"/>
      <c r="AR66" s="1869"/>
    </row>
    <row customHeight="1" ht="17.25">
      <c r="A67" s="1856"/>
      <c r="B67" s="1869"/>
      <c r="C67" s="1858"/>
      <c r="D67" s="1846"/>
      <c r="E67" s="1863"/>
      <c r="F67" s="1800"/>
      <c r="G67" s="1864"/>
      <c r="H67" s="1846"/>
      <c r="I67" s="1846"/>
      <c r="J67" s="1865"/>
      <c r="K67" s="1776"/>
      <c r="L67" s="2124" t="s">
        <v>108</v>
      </c>
      <c r="M67" s="2124" t="s">
        <v>122</v>
      </c>
      <c r="N67" s="2520" t="str">
        <f>IF(Z67="","",INDEX(TERRITORY_MR_LIST,MATCH(Z67,TERRITORY_LIST_ID,0)))</f>
        <v>Территория 5</v>
      </c>
      <c r="O67" s="2201" t="s">
        <v>64</v>
      </c>
      <c r="P67" s="2124"/>
      <c r="Q67" s="2124" t="s">
        <v>141</v>
      </c>
      <c r="R67" s="2518" t="s">
        <v>125</v>
      </c>
      <c r="S67" s="2123" t="s">
        <v>19</v>
      </c>
      <c r="T67" s="1827"/>
      <c r="U67" s="1827" t="s">
        <v>141</v>
      </c>
      <c r="V67" s="3164" t="s">
        <v>28</v>
      </c>
      <c r="W67" s="1817"/>
      <c r="X67" s="1869"/>
      <c r="Y67" s="1283"/>
      <c r="Z67" s="1283" t="s">
        <v>123</v>
      </c>
      <c r="AA67" s="1283"/>
      <c r="AB67" s="1283"/>
      <c r="AC67" s="1990" t="s">
        <v>263</v>
      </c>
      <c r="AD67" s="1990" t="s">
        <v>264</v>
      </c>
      <c r="AE67" s="1283" t="s">
        <v>284</v>
      </c>
      <c r="AF67" s="1283" t="s">
        <v>285</v>
      </c>
      <c r="AG67" s="1283" t="s">
        <v>286</v>
      </c>
      <c r="AH67" s="1283" t="str">
        <f>IF($E$53=0,"",$E$53)</f>
        <v>Плата за подключение (технологическое присоединение) к системе теплоснабжения</v>
      </c>
      <c r="AI67" s="1283" t="str">
        <f>IF($G$53=0,"",$G$53)</f>
        <v>Подключение (технологическое присоединение) к системе теплоснабжения</v>
      </c>
      <c r="AJ67" s="1283" t="str">
        <f>IF($J$53=0,"",$J$53)</f>
        <v>Расходы на проведение мероприятий по подключению объектов заявителей</v>
      </c>
      <c r="AK67" s="1283" t="str">
        <f>IF($K$67="нет","без дифференциации",IF($N$67=0,"",$N$67))</f>
        <v>Территория 5</v>
      </c>
      <c r="AL67" s="1860" t="str">
        <f>IF($O$67="нет","без дифференциации",IF($R$67=0,"",$R$67))</f>
        <v>Находкинский городской округ</v>
      </c>
      <c r="AM67" s="1860" t="str">
        <f>IF($S$67="нет","без дифференциации",IF($V$67=0,"",$V$67))</f>
        <v>без дифференциации</v>
      </c>
      <c r="AN67" s="1283">
        <f>$I$53</f>
        <v>1</v>
      </c>
      <c r="AO67" s="1283" t="str">
        <f>$I$53&amp;"."&amp;$M$67</f>
        <v>1.5</v>
      </c>
      <c r="AP67" s="1283" t="str">
        <f>$I$53&amp;"."&amp;$M$67&amp;"."&amp;$Q$67</f>
        <v>1.5.1</v>
      </c>
      <c r="AQ67" s="1283" t="str">
        <f>$I$53&amp;"."&amp;$M$67&amp;"."&amp;$Q$67&amp;"."&amp;$U$67</f>
        <v>1.5.1.1</v>
      </c>
      <c r="AR67" s="1869"/>
    </row>
    <row customHeight="1" ht="17.25">
      <c r="A68" s="1856"/>
      <c r="B68" s="1869"/>
      <c r="C68" s="1861"/>
      <c r="D68" s="1846"/>
      <c r="E68" s="1863"/>
      <c r="F68" s="1800"/>
      <c r="G68" s="1864"/>
      <c r="H68" s="1846"/>
      <c r="I68" s="1846"/>
      <c r="J68" s="1865"/>
      <c r="K68" s="1776"/>
      <c r="L68" s="2124"/>
      <c r="M68" s="2124"/>
      <c r="N68" s="2520"/>
      <c r="O68" s="2202"/>
      <c r="P68" s="2124"/>
      <c r="Q68" s="2124"/>
      <c r="R68" s="2518"/>
      <c r="S68" s="2123"/>
      <c r="T68" s="333"/>
      <c r="U68" s="334"/>
      <c r="V68" s="334" t="s">
        <v>268</v>
      </c>
      <c r="W68" s="335"/>
      <c r="X68" s="1869"/>
      <c r="Y68" s="1275"/>
      <c r="Z68" s="1275"/>
      <c r="AA68" s="1275"/>
      <c r="AB68" s="1275"/>
      <c r="AC68" s="1275"/>
      <c r="AD68" s="1275"/>
      <c r="AE68" s="1275"/>
      <c r="AF68" s="1275"/>
      <c r="AG68" s="1275"/>
      <c r="AH68" s="1275"/>
      <c r="AI68" s="1275"/>
      <c r="AJ68" s="1275"/>
      <c r="AK68" s="1275"/>
      <c r="AL68" s="1869"/>
      <c r="AM68" s="1869"/>
      <c r="AN68" s="1869"/>
      <c r="AO68" s="1869"/>
      <c r="AP68" s="1869"/>
      <c r="AQ68" s="1869"/>
      <c r="AR68" s="1869"/>
    </row>
    <row customHeight="1" ht="17.25">
      <c r="A69" s="1856"/>
      <c r="B69" s="1869"/>
      <c r="C69" s="1861"/>
      <c r="D69" s="1846"/>
      <c r="E69" s="1863"/>
      <c r="F69" s="1800"/>
      <c r="G69" s="1864"/>
      <c r="H69" s="1846"/>
      <c r="I69" s="1846"/>
      <c r="J69" s="1865"/>
      <c r="K69" s="1776"/>
      <c r="L69" s="2519"/>
      <c r="M69" s="2519"/>
      <c r="N69" s="2521"/>
      <c r="O69" s="2128"/>
      <c r="P69" s="333"/>
      <c r="Q69" s="334"/>
      <c r="R69" s="334" t="s">
        <v>269</v>
      </c>
      <c r="S69" s="1862"/>
      <c r="T69" s="1862"/>
      <c r="U69" s="1862"/>
      <c r="V69" s="1862"/>
      <c r="W69" s="335"/>
      <c r="X69" s="1869"/>
      <c r="Y69" s="1275"/>
      <c r="Z69" s="1275"/>
      <c r="AA69" s="1275"/>
      <c r="AB69" s="1275"/>
      <c r="AC69" s="1275"/>
      <c r="AD69" s="1275"/>
      <c r="AE69" s="1275"/>
      <c r="AF69" s="1275"/>
      <c r="AG69" s="1275"/>
      <c r="AH69" s="1275"/>
      <c r="AI69" s="1275"/>
      <c r="AJ69" s="1275"/>
      <c r="AK69" s="1275"/>
      <c r="AL69" s="1869"/>
      <c r="AM69" s="1869"/>
      <c r="AN69" s="1869"/>
      <c r="AO69" s="1869"/>
      <c r="AP69" s="1869"/>
      <c r="AQ69" s="1869"/>
      <c r="AR69" s="1869"/>
    </row>
    <row customHeight="1" ht="17.25">
      <c r="A70" s="1856"/>
      <c r="B70" s="1869"/>
      <c r="C70" s="1858"/>
      <c r="D70" s="1846"/>
      <c r="E70" s="1863"/>
      <c r="F70" s="1800"/>
      <c r="G70" s="1864"/>
      <c r="H70" s="1846"/>
      <c r="I70" s="1846"/>
      <c r="J70" s="1865"/>
      <c r="K70" s="1776"/>
      <c r="L70" s="2124" t="s">
        <v>108</v>
      </c>
      <c r="M70" s="2124" t="s">
        <v>95</v>
      </c>
      <c r="N70" s="2520" t="str">
        <f>IF(Z70="","",INDEX(TERRITORY_MR_LIST,MATCH(Z70,TERRITORY_LIST_ID,0)))</f>
        <v>Территория 6</v>
      </c>
      <c r="O70" s="2201" t="s">
        <v>64</v>
      </c>
      <c r="P70" s="2124"/>
      <c r="Q70" s="2124" t="s">
        <v>141</v>
      </c>
      <c r="R70" s="2518" t="s">
        <v>287</v>
      </c>
      <c r="S70" s="2123" t="s">
        <v>19</v>
      </c>
      <c r="T70" s="1827"/>
      <c r="U70" s="1827" t="s">
        <v>141</v>
      </c>
      <c r="V70" s="3239" t="s">
        <v>28</v>
      </c>
      <c r="W70" s="1817"/>
      <c r="X70" s="1869"/>
      <c r="Y70" s="1283"/>
      <c r="Z70" s="1283" t="s">
        <v>127</v>
      </c>
      <c r="AA70" s="1283"/>
      <c r="AB70" s="1283"/>
      <c r="AC70" s="1990" t="s">
        <v>263</v>
      </c>
      <c r="AD70" s="1990" t="s">
        <v>264</v>
      </c>
      <c r="AE70" s="1283" t="s">
        <v>288</v>
      </c>
      <c r="AF70" s="1283" t="s">
        <v>289</v>
      </c>
      <c r="AG70" s="1283" t="s">
        <v>290</v>
      </c>
      <c r="AH70" s="1283" t="str">
        <f>IF($E$53=0,"",$E$53)</f>
        <v>Плата за подключение (технологическое присоединение) к системе теплоснабжения</v>
      </c>
      <c r="AI70" s="1283" t="str">
        <f>IF($G$53=0,"",$G$53)</f>
        <v>Подключение (технологическое присоединение) к системе теплоснабжения</v>
      </c>
      <c r="AJ70" s="1283" t="str">
        <f>IF($J$53=0,"",$J$53)</f>
        <v>Расходы на проведение мероприятий по подключению объектов заявителей</v>
      </c>
      <c r="AK70" s="1283" t="str">
        <f>IF($K$70="нет","без дифференциации",IF($N$70=0,"",$N$70))</f>
        <v>Территория 6</v>
      </c>
      <c r="AL70" s="1860" t="str">
        <f>IF($O$70="нет","без дифференциации",IF($R$70=0,"",$R$70))</f>
        <v>с. Хороль, Хорольский муниципальный округ</v>
      </c>
      <c r="AM70" s="1860" t="str">
        <f>IF($S$70="нет","без дифференциации",IF($V$70=0,"",$V$70))</f>
        <v>без дифференциации</v>
      </c>
      <c r="AN70" s="1283">
        <f>$I$53</f>
        <v>1</v>
      </c>
      <c r="AO70" s="1283" t="str">
        <f>$I$53&amp;"."&amp;$M$70</f>
        <v>1.6</v>
      </c>
      <c r="AP70" s="1283" t="str">
        <f>$I$53&amp;"."&amp;$M$70&amp;"."&amp;$Q$70</f>
        <v>1.6.1</v>
      </c>
      <c r="AQ70" s="1283" t="str">
        <f>$I$53&amp;"."&amp;$M$70&amp;"."&amp;$Q$70&amp;"."&amp;$U$70</f>
        <v>1.6.1.1</v>
      </c>
      <c r="AR70" s="1869"/>
    </row>
    <row customHeight="1" ht="17.25">
      <c r="A71" s="1856"/>
      <c r="B71" s="1869"/>
      <c r="C71" s="1861"/>
      <c r="D71" s="1846"/>
      <c r="E71" s="1863"/>
      <c r="F71" s="1800"/>
      <c r="G71" s="1864"/>
      <c r="H71" s="1846"/>
      <c r="I71" s="1846"/>
      <c r="J71" s="1865"/>
      <c r="K71" s="1776"/>
      <c r="L71" s="2124"/>
      <c r="M71" s="2124"/>
      <c r="N71" s="2520"/>
      <c r="O71" s="2202"/>
      <c r="P71" s="2124"/>
      <c r="Q71" s="2124"/>
      <c r="R71" s="2518"/>
      <c r="S71" s="2123"/>
      <c r="T71" s="333"/>
      <c r="U71" s="334"/>
      <c r="V71" s="334" t="s">
        <v>268</v>
      </c>
      <c r="W71" s="335"/>
      <c r="X71" s="1869"/>
      <c r="Y71" s="1275"/>
      <c r="Z71" s="1275"/>
      <c r="AA71" s="1275"/>
      <c r="AB71" s="1275"/>
      <c r="AC71" s="1275"/>
      <c r="AD71" s="1275"/>
      <c r="AE71" s="1275"/>
      <c r="AF71" s="1275"/>
      <c r="AG71" s="1275"/>
      <c r="AH71" s="1275"/>
      <c r="AI71" s="1275"/>
      <c r="AJ71" s="1275"/>
      <c r="AK71" s="1275"/>
      <c r="AL71" s="1869"/>
      <c r="AM71" s="1869"/>
      <c r="AN71" s="1869"/>
      <c r="AO71" s="1869"/>
      <c r="AP71" s="1869"/>
      <c r="AQ71" s="1869"/>
      <c r="AR71" s="1869"/>
    </row>
    <row customHeight="1" ht="17.25">
      <c r="A72" s="1856"/>
      <c r="B72" s="1869"/>
      <c r="C72" s="1861"/>
      <c r="D72" s="1846"/>
      <c r="E72" s="1863"/>
      <c r="F72" s="1800"/>
      <c r="G72" s="1864"/>
      <c r="H72" s="1846"/>
      <c r="I72" s="1846"/>
      <c r="J72" s="1865"/>
      <c r="K72" s="1776"/>
      <c r="L72" s="2519"/>
      <c r="M72" s="2519"/>
      <c r="N72" s="2521"/>
      <c r="O72" s="2128"/>
      <c r="P72" s="333"/>
      <c r="Q72" s="334"/>
      <c r="R72" s="334" t="s">
        <v>269</v>
      </c>
      <c r="S72" s="1862"/>
      <c r="T72" s="1862"/>
      <c r="U72" s="1862"/>
      <c r="V72" s="1862"/>
      <c r="W72" s="335"/>
      <c r="X72" s="1869"/>
      <c r="Y72" s="1275"/>
      <c r="Z72" s="1275"/>
      <c r="AA72" s="1275"/>
      <c r="AB72" s="1275"/>
      <c r="AC72" s="1275"/>
      <c r="AD72" s="1275"/>
      <c r="AE72" s="1275"/>
      <c r="AF72" s="1275"/>
      <c r="AG72" s="1275"/>
      <c r="AH72" s="1275"/>
      <c r="AI72" s="1275"/>
      <c r="AJ72" s="1275"/>
      <c r="AK72" s="1275"/>
      <c r="AL72" s="1869"/>
      <c r="AM72" s="1869"/>
      <c r="AN72" s="1869"/>
      <c r="AO72" s="1869"/>
      <c r="AP72" s="1869"/>
      <c r="AQ72" s="1869"/>
      <c r="AR72" s="1869"/>
    </row>
    <row customHeight="1" ht="17.25">
      <c r="A73" s="1856"/>
      <c r="B73" s="1869"/>
      <c r="C73" s="1858"/>
      <c r="D73" s="1846"/>
      <c r="E73" s="1863"/>
      <c r="F73" s="1800"/>
      <c r="G73" s="1864"/>
      <c r="H73" s="1846"/>
      <c r="I73" s="1846"/>
      <c r="J73" s="1865"/>
      <c r="K73" s="1776"/>
      <c r="L73" s="2124" t="s">
        <v>108</v>
      </c>
      <c r="M73" s="2124" t="s">
        <v>96</v>
      </c>
      <c r="N73" s="2520" t="str">
        <f>IF(Z73="","",INDEX(TERRITORY_MR_LIST,MATCH(Z73,TERRITORY_LIST_ID,0)))</f>
        <v>Территория 7</v>
      </c>
      <c r="O73" s="2201" t="s">
        <v>64</v>
      </c>
      <c r="P73" s="2124"/>
      <c r="Q73" s="2124" t="s">
        <v>141</v>
      </c>
      <c r="R73" s="2518" t="s">
        <v>291</v>
      </c>
      <c r="S73" s="2123" t="s">
        <v>19</v>
      </c>
      <c r="T73" s="1827"/>
      <c r="U73" s="1827" t="s">
        <v>141</v>
      </c>
      <c r="V73" s="3390" t="s">
        <v>28</v>
      </c>
      <c r="W73" s="1817"/>
      <c r="X73" s="1869"/>
      <c r="Y73" s="1283"/>
      <c r="Z73" s="1283" t="s">
        <v>131</v>
      </c>
      <c r="AA73" s="1283"/>
      <c r="AB73" s="1283"/>
      <c r="AC73" s="1990" t="s">
        <v>263</v>
      </c>
      <c r="AD73" s="1990" t="s">
        <v>264</v>
      </c>
      <c r="AE73" s="1283" t="s">
        <v>292</v>
      </c>
      <c r="AF73" s="1283" t="s">
        <v>293</v>
      </c>
      <c r="AG73" s="1283" t="s">
        <v>294</v>
      </c>
      <c r="AH73" s="1283" t="str">
        <f>IF($E$53=0,"",$E$53)</f>
        <v>Плата за подключение (технологическое присоединение) к системе теплоснабжения</v>
      </c>
      <c r="AI73" s="1283" t="str">
        <f>IF($G$53=0,"",$G$53)</f>
        <v>Подключение (технологическое присоединение) к системе теплоснабжения</v>
      </c>
      <c r="AJ73" s="1283" t="str">
        <f>IF($J$53=0,"",$J$53)</f>
        <v>Расходы на проведение мероприятий по подключению объектов заявителей</v>
      </c>
      <c r="AK73" s="1283" t="str">
        <f>IF($K$73="нет","без дифференциации",IF($N$73=0,"",$N$73))</f>
        <v>Территория 7</v>
      </c>
      <c r="AL73" s="1860" t="str">
        <f>IF($O$73="нет","без дифференциации",IF($R$73=0,"",$R$73))</f>
        <v>пгт Кировский, Кировский муниципальный округ</v>
      </c>
      <c r="AM73" s="1860" t="str">
        <f>IF($S$73="нет","без дифференциации",IF($V$73=0,"",$V$73))</f>
        <v>без дифференциации</v>
      </c>
      <c r="AN73" s="1283">
        <f>$I$53</f>
        <v>1</v>
      </c>
      <c r="AO73" s="1283" t="str">
        <f>$I$53&amp;"."&amp;$M$73</f>
        <v>1.7</v>
      </c>
      <c r="AP73" s="1283" t="str">
        <f>$I$53&amp;"."&amp;$M$73&amp;"."&amp;$Q$73</f>
        <v>1.7.1</v>
      </c>
      <c r="AQ73" s="1283" t="str">
        <f>$I$53&amp;"."&amp;$M$73&amp;"."&amp;$Q$73&amp;"."&amp;$U$73</f>
        <v>1.7.1.1</v>
      </c>
      <c r="AR73" s="1869"/>
    </row>
    <row customHeight="1" ht="17.25">
      <c r="A74" s="1856"/>
      <c r="B74" s="1869"/>
      <c r="C74" s="1861"/>
      <c r="D74" s="1846"/>
      <c r="E74" s="1863"/>
      <c r="F74" s="1800"/>
      <c r="G74" s="1864"/>
      <c r="H74" s="1846"/>
      <c r="I74" s="1846"/>
      <c r="J74" s="1865"/>
      <c r="K74" s="1776"/>
      <c r="L74" s="2124"/>
      <c r="M74" s="2124"/>
      <c r="N74" s="2520"/>
      <c r="O74" s="2202"/>
      <c r="P74" s="2124"/>
      <c r="Q74" s="2124"/>
      <c r="R74" s="2518"/>
      <c r="S74" s="2123"/>
      <c r="T74" s="333"/>
      <c r="U74" s="334"/>
      <c r="V74" s="334" t="s">
        <v>268</v>
      </c>
      <c r="W74" s="335"/>
      <c r="X74" s="1869"/>
      <c r="Y74" s="1275"/>
      <c r="Z74" s="1275"/>
      <c r="AA74" s="1275"/>
      <c r="AB74" s="1275"/>
      <c r="AC74" s="1275"/>
      <c r="AD74" s="1275"/>
      <c r="AE74" s="1275"/>
      <c r="AF74" s="1275"/>
      <c r="AG74" s="1275"/>
      <c r="AH74" s="1275"/>
      <c r="AI74" s="1275"/>
      <c r="AJ74" s="1275"/>
      <c r="AK74" s="1275"/>
      <c r="AL74" s="1869"/>
      <c r="AM74" s="1869"/>
      <c r="AN74" s="1869"/>
      <c r="AO74" s="1869"/>
      <c r="AP74" s="1869"/>
      <c r="AQ74" s="1869"/>
      <c r="AR74" s="1869"/>
    </row>
    <row customHeight="1" ht="17.25">
      <c r="A75" s="1856"/>
      <c r="B75" s="1869"/>
      <c r="C75" s="1861"/>
      <c r="D75" s="1846"/>
      <c r="E75" s="1863"/>
      <c r="F75" s="1800"/>
      <c r="G75" s="1864"/>
      <c r="H75" s="1846"/>
      <c r="I75" s="1846"/>
      <c r="J75" s="1865"/>
      <c r="K75" s="1776"/>
      <c r="L75" s="2519"/>
      <c r="M75" s="2519"/>
      <c r="N75" s="2521"/>
      <c r="O75" s="2128"/>
      <c r="P75" s="333"/>
      <c r="Q75" s="334"/>
      <c r="R75" s="334" t="s">
        <v>269</v>
      </c>
      <c r="S75" s="1862"/>
      <c r="T75" s="1862"/>
      <c r="U75" s="1862"/>
      <c r="V75" s="1862"/>
      <c r="W75" s="335"/>
      <c r="X75" s="1869"/>
      <c r="Y75" s="1275"/>
      <c r="Z75" s="1275"/>
      <c r="AA75" s="1275"/>
      <c r="AB75" s="1275"/>
      <c r="AC75" s="1275"/>
      <c r="AD75" s="1275"/>
      <c r="AE75" s="1275"/>
      <c r="AF75" s="1275"/>
      <c r="AG75" s="1275"/>
      <c r="AH75" s="1275"/>
      <c r="AI75" s="1275"/>
      <c r="AJ75" s="1275"/>
      <c r="AK75" s="1275"/>
      <c r="AL75" s="1869"/>
      <c r="AM75" s="1869"/>
      <c r="AN75" s="1869"/>
      <c r="AO75" s="1869"/>
      <c r="AP75" s="1869"/>
      <c r="AQ75" s="1869"/>
      <c r="AR75" s="1869"/>
    </row>
    <row customHeight="1" ht="17.25">
      <c r="A76" s="1856"/>
      <c r="B76" s="1869"/>
      <c r="C76" s="1858"/>
      <c r="D76" s="1846"/>
      <c r="E76" s="1863"/>
      <c r="F76" s="1800"/>
      <c r="G76" s="1864"/>
      <c r="H76" s="1846"/>
      <c r="I76" s="1846"/>
      <c r="J76" s="1865"/>
      <c r="K76" s="1776"/>
      <c r="L76" s="2124" t="s">
        <v>108</v>
      </c>
      <c r="M76" s="2124" t="s">
        <v>134</v>
      </c>
      <c r="N76" s="2520" t="str">
        <f>IF(Z76="","",INDEX(TERRITORY_MR_LIST,MATCH(Z76,TERRITORY_LIST_ID,0)))</f>
        <v>Территория 8</v>
      </c>
      <c r="O76" s="2201" t="s">
        <v>64</v>
      </c>
      <c r="P76" s="2124"/>
      <c r="Q76" s="2124" t="s">
        <v>141</v>
      </c>
      <c r="R76" s="2518" t="s">
        <v>295</v>
      </c>
      <c r="S76" s="2123" t="s">
        <v>19</v>
      </c>
      <c r="T76" s="1827"/>
      <c r="U76" s="1827" t="s">
        <v>141</v>
      </c>
      <c r="V76" s="3540" t="s">
        <v>28</v>
      </c>
      <c r="W76" s="1817"/>
      <c r="X76" s="1869"/>
      <c r="Y76" s="1283"/>
      <c r="Z76" s="1283" t="s">
        <v>135</v>
      </c>
      <c r="AA76" s="1283"/>
      <c r="AB76" s="1283"/>
      <c r="AC76" s="1990" t="s">
        <v>263</v>
      </c>
      <c r="AD76" s="1990" t="s">
        <v>264</v>
      </c>
      <c r="AE76" s="1283" t="s">
        <v>296</v>
      </c>
      <c r="AF76" s="1283" t="s">
        <v>297</v>
      </c>
      <c r="AG76" s="1283" t="s">
        <v>298</v>
      </c>
      <c r="AH76" s="1283" t="str">
        <f>IF($E$53=0,"",$E$53)</f>
        <v>Плата за подключение (технологическое присоединение) к системе теплоснабжения</v>
      </c>
      <c r="AI76" s="1283" t="str">
        <f>IF($G$53=0,"",$G$53)</f>
        <v>Подключение (технологическое присоединение) к системе теплоснабжения</v>
      </c>
      <c r="AJ76" s="1283" t="str">
        <f>IF($J$53=0,"",$J$53)</f>
        <v>Расходы на проведение мероприятий по подключению объектов заявителей</v>
      </c>
      <c r="AK76" s="1283" t="str">
        <f>IF($K$76="нет","без дифференциации",IF($N$76=0,"",$N$76))</f>
        <v>Территория 8</v>
      </c>
      <c r="AL76" s="1860" t="str">
        <f>IF($O$76="нет","без дифференциации",IF($R$76=0,"",$R$76))</f>
        <v>г.Лесозаводск, Лесозаволской муниципальный округ</v>
      </c>
      <c r="AM76" s="1860" t="str">
        <f>IF($S$76="нет","без дифференциации",IF($V$76=0,"",$V$76))</f>
        <v>без дифференциации</v>
      </c>
      <c r="AN76" s="1283">
        <f>$I$53</f>
        <v>1</v>
      </c>
      <c r="AO76" s="1283" t="str">
        <f>$I$53&amp;"."&amp;$M$76</f>
        <v>1.8</v>
      </c>
      <c r="AP76" s="1283" t="str">
        <f>$I$53&amp;"."&amp;$M$76&amp;"."&amp;$Q$76</f>
        <v>1.8.1</v>
      </c>
      <c r="AQ76" s="1283" t="str">
        <f>$I$53&amp;"."&amp;$M$76&amp;"."&amp;$Q$76&amp;"."&amp;$U$76</f>
        <v>1.8.1.1</v>
      </c>
      <c r="AR76" s="1869"/>
    </row>
    <row customHeight="1" ht="17.25">
      <c r="A77" s="1856"/>
      <c r="B77" s="1869"/>
      <c r="C77" s="1861"/>
      <c r="D77" s="1846"/>
      <c r="E77" s="1863"/>
      <c r="F77" s="1800"/>
      <c r="G77" s="1864"/>
      <c r="H77" s="1846"/>
      <c r="I77" s="1846"/>
      <c r="J77" s="1865"/>
      <c r="K77" s="1776"/>
      <c r="L77" s="2124"/>
      <c r="M77" s="2124"/>
      <c r="N77" s="2520"/>
      <c r="O77" s="2202"/>
      <c r="P77" s="2124"/>
      <c r="Q77" s="2124"/>
      <c r="R77" s="2518"/>
      <c r="S77" s="2123"/>
      <c r="T77" s="333"/>
      <c r="U77" s="334"/>
      <c r="V77" s="334" t="s">
        <v>268</v>
      </c>
      <c r="W77" s="335"/>
      <c r="X77" s="1869"/>
      <c r="Y77" s="1275"/>
      <c r="Z77" s="1275"/>
      <c r="AA77" s="1275"/>
      <c r="AB77" s="1275"/>
      <c r="AC77" s="1275"/>
      <c r="AD77" s="1275"/>
      <c r="AE77" s="1275"/>
      <c r="AF77" s="1275"/>
      <c r="AG77" s="1275"/>
      <c r="AH77" s="1275"/>
      <c r="AI77" s="1275"/>
      <c r="AJ77" s="1275"/>
      <c r="AK77" s="1275"/>
      <c r="AL77" s="1869"/>
      <c r="AM77" s="1869"/>
      <c r="AN77" s="1869"/>
      <c r="AO77" s="1869"/>
      <c r="AP77" s="1869"/>
      <c r="AQ77" s="1869"/>
      <c r="AR77" s="1869"/>
    </row>
    <row customHeight="1" ht="17.25">
      <c r="A78" s="1856"/>
      <c r="B78" s="1869"/>
      <c r="C78" s="1861"/>
      <c r="D78" s="1846"/>
      <c r="E78" s="1863"/>
      <c r="F78" s="1800"/>
      <c r="G78" s="1864"/>
      <c r="H78" s="1846"/>
      <c r="I78" s="1846"/>
      <c r="J78" s="1865"/>
      <c r="K78" s="1776"/>
      <c r="L78" s="2519"/>
      <c r="M78" s="2519"/>
      <c r="N78" s="2521"/>
      <c r="O78" s="2128"/>
      <c r="P78" s="333"/>
      <c r="Q78" s="334"/>
      <c r="R78" s="334" t="s">
        <v>269</v>
      </c>
      <c r="S78" s="1862"/>
      <c r="T78" s="1862"/>
      <c r="U78" s="1862"/>
      <c r="V78" s="1862"/>
      <c r="W78" s="335"/>
      <c r="X78" s="1869"/>
      <c r="Y78" s="1275"/>
      <c r="Z78" s="1275"/>
      <c r="AA78" s="1275"/>
      <c r="AB78" s="1275"/>
      <c r="AC78" s="1275"/>
      <c r="AD78" s="1275"/>
      <c r="AE78" s="1275"/>
      <c r="AF78" s="1275"/>
      <c r="AG78" s="1275"/>
      <c r="AH78" s="1275"/>
      <c r="AI78" s="1275"/>
      <c r="AJ78" s="1275"/>
      <c r="AK78" s="1275"/>
      <c r="AL78" s="1869"/>
      <c r="AM78" s="1869"/>
      <c r="AN78" s="1869"/>
      <c r="AO78" s="1869"/>
      <c r="AP78" s="1869"/>
      <c r="AQ78" s="1869"/>
      <c r="AR78" s="1869"/>
    </row>
    <row customHeight="1" ht="17.25">
      <c r="A79" s="1856"/>
      <c r="B79" s="1869"/>
      <c r="C79" s="1858"/>
      <c r="D79" s="1846"/>
      <c r="E79" s="1863"/>
      <c r="F79" s="1800"/>
      <c r="G79" s="1864"/>
      <c r="H79" s="1846"/>
      <c r="I79" s="1846"/>
      <c r="J79" s="1865"/>
      <c r="K79" s="1776"/>
      <c r="L79" s="2124" t="s">
        <v>108</v>
      </c>
      <c r="M79" s="2124" t="s">
        <v>139</v>
      </c>
      <c r="N79" s="2520" t="str">
        <f>IF(Z79="","",INDEX(TERRITORY_MR_LIST,MATCH(Z79,TERRITORY_LIST_ID,0)))</f>
        <v>Территория 9</v>
      </c>
      <c r="O79" s="2201" t="s">
        <v>64</v>
      </c>
      <c r="P79" s="2124"/>
      <c r="Q79" s="2124" t="s">
        <v>141</v>
      </c>
      <c r="R79" s="2518" t="s">
        <v>299</v>
      </c>
      <c r="S79" s="2123" t="s">
        <v>19</v>
      </c>
      <c r="T79" s="1827"/>
      <c r="U79" s="1827" t="s">
        <v>141</v>
      </c>
      <c r="V79" s="3540" t="s">
        <v>28</v>
      </c>
      <c r="W79" s="1817"/>
      <c r="X79" s="1869"/>
      <c r="Y79" s="1283"/>
      <c r="Z79" s="1283" t="s">
        <v>140</v>
      </c>
      <c r="AA79" s="1283"/>
      <c r="AB79" s="1283"/>
      <c r="AC79" s="1990" t="s">
        <v>263</v>
      </c>
      <c r="AD79" s="1990" t="s">
        <v>264</v>
      </c>
      <c r="AE79" s="1283" t="s">
        <v>300</v>
      </c>
      <c r="AF79" s="1283" t="s">
        <v>301</v>
      </c>
      <c r="AG79" s="1283" t="s">
        <v>302</v>
      </c>
      <c r="AH79" s="1283" t="str">
        <f>IF($E$53=0,"",$E$53)</f>
        <v>Плата за подключение (технологическое присоединение) к системе теплоснабжения</v>
      </c>
      <c r="AI79" s="1283" t="str">
        <f>IF($G$53=0,"",$G$53)</f>
        <v>Подключение (технологическое присоединение) к системе теплоснабжения</v>
      </c>
      <c r="AJ79" s="1283" t="str">
        <f>IF($J$53=0,"",$J$53)</f>
        <v>Расходы на проведение мероприятий по подключению объектов заявителей</v>
      </c>
      <c r="AK79" s="1283" t="str">
        <f>IF($K$79="нет","без дифференциации",IF($N$79=0,"",$N$79))</f>
        <v>Территория 9</v>
      </c>
      <c r="AL79" s="1860" t="str">
        <f>IF($O$79="нет","без дифференциации",IF($R$79=0,"",$R$79))</f>
        <v>с.Анучино, Анучинский муниципальный округ</v>
      </c>
      <c r="AM79" s="1860" t="str">
        <f>IF($S$79="нет","без дифференциации",IF($V$79=0,"",$V$79))</f>
        <v>без дифференциации</v>
      </c>
      <c r="AN79" s="1283">
        <f>$I$53</f>
        <v>1</v>
      </c>
      <c r="AO79" s="1283" t="str">
        <f>$I$53&amp;"."&amp;$M$79</f>
        <v>1.9</v>
      </c>
      <c r="AP79" s="1283" t="str">
        <f>$I$53&amp;"."&amp;$M$79&amp;"."&amp;$Q$79</f>
        <v>1.9.1</v>
      </c>
      <c r="AQ79" s="1283" t="str">
        <f>$I$53&amp;"."&amp;$M$79&amp;"."&amp;$Q$79&amp;"."&amp;$U$79</f>
        <v>1.9.1.1</v>
      </c>
      <c r="AR79" s="1869"/>
    </row>
    <row customHeight="1" ht="17.25">
      <c r="A80" s="1856"/>
      <c r="B80" s="1869"/>
      <c r="C80" s="1861"/>
      <c r="D80" s="1846"/>
      <c r="E80" s="1863"/>
      <c r="F80" s="1800"/>
      <c r="G80" s="1864"/>
      <c r="H80" s="1846"/>
      <c r="I80" s="1846"/>
      <c r="J80" s="1865"/>
      <c r="K80" s="1776"/>
      <c r="L80" s="2124"/>
      <c r="M80" s="2124"/>
      <c r="N80" s="2520"/>
      <c r="O80" s="2202"/>
      <c r="P80" s="2124"/>
      <c r="Q80" s="2124"/>
      <c r="R80" s="2518"/>
      <c r="S80" s="2123"/>
      <c r="T80" s="333"/>
      <c r="U80" s="334"/>
      <c r="V80" s="334" t="s">
        <v>268</v>
      </c>
      <c r="W80" s="335"/>
      <c r="X80" s="1869"/>
      <c r="Y80" s="1275"/>
      <c r="Z80" s="1275"/>
      <c r="AA80" s="1275"/>
      <c r="AB80" s="1275"/>
      <c r="AC80" s="1275"/>
      <c r="AD80" s="1275"/>
      <c r="AE80" s="1275"/>
      <c r="AF80" s="1275"/>
      <c r="AG80" s="1275"/>
      <c r="AH80" s="1275"/>
      <c r="AI80" s="1275"/>
      <c r="AJ80" s="1275"/>
      <c r="AK80" s="1275"/>
      <c r="AL80" s="1869"/>
      <c r="AM80" s="1869"/>
      <c r="AN80" s="1869"/>
      <c r="AO80" s="1869"/>
      <c r="AP80" s="1869"/>
      <c r="AQ80" s="1869"/>
      <c r="AR80" s="1869"/>
    </row>
    <row customHeight="1" ht="17.25">
      <c r="A81" s="1856"/>
      <c r="B81" s="1869"/>
      <c r="C81" s="1861"/>
      <c r="D81" s="1846"/>
      <c r="E81" s="1863"/>
      <c r="F81" s="1800"/>
      <c r="G81" s="1864"/>
      <c r="H81" s="1846"/>
      <c r="I81" s="1846"/>
      <c r="J81" s="1865"/>
      <c r="K81" s="1776"/>
      <c r="L81" s="2519"/>
      <c r="M81" s="2519"/>
      <c r="N81" s="2521"/>
      <c r="O81" s="2128"/>
      <c r="P81" s="333"/>
      <c r="Q81" s="334"/>
      <c r="R81" s="334" t="s">
        <v>269</v>
      </c>
      <c r="S81" s="1862"/>
      <c r="T81" s="1862"/>
      <c r="U81" s="1862"/>
      <c r="V81" s="1862"/>
      <c r="W81" s="335"/>
      <c r="X81" s="1869"/>
      <c r="Y81" s="1275"/>
      <c r="Z81" s="1275"/>
      <c r="AA81" s="1275"/>
      <c r="AB81" s="1275"/>
      <c r="AC81" s="1275"/>
      <c r="AD81" s="1275"/>
      <c r="AE81" s="1275"/>
      <c r="AF81" s="1275"/>
      <c r="AG81" s="1275"/>
      <c r="AH81" s="1275"/>
      <c r="AI81" s="1275"/>
      <c r="AJ81" s="1275"/>
      <c r="AK81" s="1275"/>
      <c r="AL81" s="1869"/>
      <c r="AM81" s="1869"/>
      <c r="AN81" s="1869"/>
      <c r="AO81" s="1869"/>
      <c r="AP81" s="1869"/>
      <c r="AQ81" s="1869"/>
      <c r="AR81" s="1869"/>
    </row>
    <row customHeight="1" ht="17.25">
      <c r="A82" s="1856"/>
      <c r="B82" s="1869"/>
      <c r="C82" s="1858"/>
      <c r="D82" s="1846"/>
      <c r="E82" s="1863"/>
      <c r="F82" s="1800"/>
      <c r="G82" s="1864"/>
      <c r="H82" s="1846"/>
      <c r="I82" s="1846"/>
      <c r="J82" s="1865"/>
      <c r="K82" s="1776"/>
      <c r="L82" s="2124" t="s">
        <v>108</v>
      </c>
      <c r="M82" s="2124" t="s">
        <v>144</v>
      </c>
      <c r="N82" s="2520" t="str">
        <f>IF(Z82="","",INDEX(TERRITORY_MR_LIST,MATCH(Z82,TERRITORY_LIST_ID,0)))</f>
        <v>Территория 10</v>
      </c>
      <c r="O82" s="2201" t="s">
        <v>64</v>
      </c>
      <c r="P82" s="2124"/>
      <c r="Q82" s="2124" t="s">
        <v>141</v>
      </c>
      <c r="R82" s="2518" t="s">
        <v>303</v>
      </c>
      <c r="S82" s="2123" t="s">
        <v>19</v>
      </c>
      <c r="T82" s="1827"/>
      <c r="U82" s="1827" t="s">
        <v>141</v>
      </c>
      <c r="V82" s="3690" t="s">
        <v>28</v>
      </c>
      <c r="W82" s="1817"/>
      <c r="X82" s="1869"/>
      <c r="Y82" s="1283"/>
      <c r="Z82" s="1283" t="s">
        <v>145</v>
      </c>
      <c r="AA82" s="1283"/>
      <c r="AB82" s="1283"/>
      <c r="AC82" s="1990" t="s">
        <v>263</v>
      </c>
      <c r="AD82" s="1990" t="s">
        <v>264</v>
      </c>
      <c r="AE82" s="1283" t="s">
        <v>304</v>
      </c>
      <c r="AF82" s="1283" t="s">
        <v>305</v>
      </c>
      <c r="AG82" s="1283" t="s">
        <v>306</v>
      </c>
      <c r="AH82" s="1283" t="str">
        <f>IF($E$53=0,"",$E$53)</f>
        <v>Плата за подключение (технологическое присоединение) к системе теплоснабжения</v>
      </c>
      <c r="AI82" s="1283" t="str">
        <f>IF($G$53=0,"",$G$53)</f>
        <v>Подключение (технологическое присоединение) к системе теплоснабжения</v>
      </c>
      <c r="AJ82" s="1283" t="str">
        <f>IF($J$53=0,"",$J$53)</f>
        <v>Расходы на проведение мероприятий по подключению объектов заявителей</v>
      </c>
      <c r="AK82" s="1283" t="str">
        <f>IF($K$82="нет","без дифференциации",IF($N$82=0,"",$N$82))</f>
        <v>Территория 10</v>
      </c>
      <c r="AL82" s="1860" t="str">
        <f>IF($O$82="нет","без дифференциации",IF($R$82=0,"",$R$82))</f>
        <v>с.Ивановка, Михайловский муниципальный округ</v>
      </c>
      <c r="AM82" s="1860" t="str">
        <f>IF($S$82="нет","без дифференциации",IF($V$82=0,"",$V$82))</f>
        <v>без дифференциации</v>
      </c>
      <c r="AN82" s="1283">
        <f>$I$53</f>
        <v>1</v>
      </c>
      <c r="AO82" s="1283" t="str">
        <f>$I$53&amp;"."&amp;$M$82</f>
        <v>1.10</v>
      </c>
      <c r="AP82" s="1283" t="str">
        <f>$I$53&amp;"."&amp;$M$82&amp;"."&amp;$Q$82</f>
        <v>1.10.1</v>
      </c>
      <c r="AQ82" s="1283" t="str">
        <f>$I$53&amp;"."&amp;$M$82&amp;"."&amp;$Q$82&amp;"."&amp;$U$82</f>
        <v>1.10.1.1</v>
      </c>
      <c r="AR82" s="1869"/>
    </row>
    <row customHeight="1" ht="17.25">
      <c r="A83" s="1856"/>
      <c r="B83" s="1869"/>
      <c r="C83" s="1861"/>
      <c r="D83" s="1846"/>
      <c r="E83" s="1863"/>
      <c r="F83" s="1800"/>
      <c r="G83" s="1864"/>
      <c r="H83" s="1846"/>
      <c r="I83" s="1846"/>
      <c r="J83" s="1865"/>
      <c r="K83" s="1776"/>
      <c r="L83" s="2124"/>
      <c r="M83" s="2124"/>
      <c r="N83" s="2520"/>
      <c r="O83" s="2202"/>
      <c r="P83" s="2124"/>
      <c r="Q83" s="2124"/>
      <c r="R83" s="2518"/>
      <c r="S83" s="2123"/>
      <c r="T83" s="333"/>
      <c r="U83" s="334"/>
      <c r="V83" s="334" t="s">
        <v>268</v>
      </c>
      <c r="W83" s="335"/>
      <c r="X83" s="1869"/>
      <c r="Y83" s="1275"/>
      <c r="Z83" s="1275"/>
      <c r="AA83" s="1275"/>
      <c r="AB83" s="1275"/>
      <c r="AC83" s="1275"/>
      <c r="AD83" s="1275"/>
      <c r="AE83" s="1275"/>
      <c r="AF83" s="1275"/>
      <c r="AG83" s="1275"/>
      <c r="AH83" s="1275"/>
      <c r="AI83" s="1275"/>
      <c r="AJ83" s="1275"/>
      <c r="AK83" s="1275"/>
      <c r="AL83" s="1869"/>
      <c r="AM83" s="1869"/>
      <c r="AN83" s="1869"/>
      <c r="AO83" s="1869"/>
      <c r="AP83" s="1869"/>
      <c r="AQ83" s="1869"/>
      <c r="AR83" s="1869"/>
    </row>
    <row customHeight="1" ht="17.25">
      <c r="A84" s="1856"/>
      <c r="B84" s="1869"/>
      <c r="C84" s="1861"/>
      <c r="D84" s="1846"/>
      <c r="E84" s="1863"/>
      <c r="F84" s="1800"/>
      <c r="G84" s="1864"/>
      <c r="H84" s="1846"/>
      <c r="I84" s="1846"/>
      <c r="J84" s="1865"/>
      <c r="K84" s="1776"/>
      <c r="L84" s="2519"/>
      <c r="M84" s="2519"/>
      <c r="N84" s="2521"/>
      <c r="O84" s="2128"/>
      <c r="P84" s="333"/>
      <c r="Q84" s="334"/>
      <c r="R84" s="334" t="s">
        <v>269</v>
      </c>
      <c r="S84" s="1862"/>
      <c r="T84" s="1862"/>
      <c r="U84" s="1862"/>
      <c r="V84" s="1862"/>
      <c r="W84" s="335"/>
      <c r="X84" s="1869"/>
      <c r="Y84" s="1275"/>
      <c r="Z84" s="1275"/>
      <c r="AA84" s="1275"/>
      <c r="AB84" s="1275"/>
      <c r="AC84" s="1275"/>
      <c r="AD84" s="1275"/>
      <c r="AE84" s="1275"/>
      <c r="AF84" s="1275"/>
      <c r="AG84" s="1275"/>
      <c r="AH84" s="1275"/>
      <c r="AI84" s="1275"/>
      <c r="AJ84" s="1275"/>
      <c r="AK84" s="1275"/>
      <c r="AL84" s="1869"/>
      <c r="AM84" s="1869"/>
      <c r="AN84" s="1869"/>
      <c r="AO84" s="1869"/>
      <c r="AP84" s="1869"/>
      <c r="AQ84" s="1869"/>
      <c r="AR84" s="1869"/>
    </row>
    <row customHeight="1" ht="17.25">
      <c r="A85" s="1856"/>
      <c r="B85" s="1869"/>
      <c r="C85" s="1858"/>
      <c r="D85" s="1846"/>
      <c r="E85" s="1863"/>
      <c r="F85" s="1800"/>
      <c r="G85" s="1864"/>
      <c r="H85" s="1846"/>
      <c r="I85" s="1846"/>
      <c r="J85" s="1865"/>
      <c r="K85" s="1776"/>
      <c r="L85" s="2124" t="s">
        <v>108</v>
      </c>
      <c r="M85" s="2124" t="s">
        <v>150</v>
      </c>
      <c r="N85" s="2520" t="str">
        <f>IF(Z85="","",INDEX(TERRITORY_MR_LIST,MATCH(Z85,TERRITORY_LIST_ID,0)))</f>
        <v>Территория 11</v>
      </c>
      <c r="O85" s="2201" t="s">
        <v>64</v>
      </c>
      <c r="P85" s="2124"/>
      <c r="Q85" s="2124" t="s">
        <v>141</v>
      </c>
      <c r="R85" s="2518" t="s">
        <v>307</v>
      </c>
      <c r="S85" s="2123" t="s">
        <v>19</v>
      </c>
      <c r="T85" s="1827"/>
      <c r="U85" s="1827" t="s">
        <v>141</v>
      </c>
      <c r="V85" s="3690" t="s">
        <v>28</v>
      </c>
      <c r="W85" s="1817"/>
      <c r="X85" s="1869"/>
      <c r="Y85" s="1283"/>
      <c r="Z85" s="1283" t="s">
        <v>151</v>
      </c>
      <c r="AA85" s="1283"/>
      <c r="AB85" s="1283"/>
      <c r="AC85" s="1990" t="s">
        <v>263</v>
      </c>
      <c r="AD85" s="1990" t="s">
        <v>264</v>
      </c>
      <c r="AE85" s="1283" t="s">
        <v>308</v>
      </c>
      <c r="AF85" s="1283" t="s">
        <v>309</v>
      </c>
      <c r="AG85" s="1283" t="s">
        <v>310</v>
      </c>
      <c r="AH85" s="1283" t="str">
        <f>IF($E$53=0,"",$E$53)</f>
        <v>Плата за подключение (технологическое присоединение) к системе теплоснабжения</v>
      </c>
      <c r="AI85" s="1283" t="str">
        <f>IF($G$53=0,"",$G$53)</f>
        <v>Подключение (технологическое присоединение) к системе теплоснабжения</v>
      </c>
      <c r="AJ85" s="1283" t="str">
        <f>IF($J$53=0,"",$J$53)</f>
        <v>Расходы на проведение мероприятий по подключению объектов заявителей</v>
      </c>
      <c r="AK85" s="1283" t="str">
        <f>IF($K$85="нет","без дифференциации",IF($N$85=0,"",$N$85))</f>
        <v>Территория 11</v>
      </c>
      <c r="AL85" s="1860" t="str">
        <f>IF($O$85="нет","без дифференциации",IF($R$85=0,"",$R$85))</f>
        <v>пгт. Ярославский, Хорольский муниципальный округ</v>
      </c>
      <c r="AM85" s="1860" t="str">
        <f>IF($S$85="нет","без дифференциации",IF($V$85=0,"",$V$85))</f>
        <v>без дифференциации</v>
      </c>
      <c r="AN85" s="1283">
        <f>$I$53</f>
        <v>1</v>
      </c>
      <c r="AO85" s="1283" t="str">
        <f>$I$53&amp;"."&amp;$M$85</f>
        <v>1.11</v>
      </c>
      <c r="AP85" s="1283" t="str">
        <f>$I$53&amp;"."&amp;$M$85&amp;"."&amp;$Q$85</f>
        <v>1.11.1</v>
      </c>
      <c r="AQ85" s="1283" t="str">
        <f>$I$53&amp;"."&amp;$M$85&amp;"."&amp;$Q$85&amp;"."&amp;$U$85</f>
        <v>1.11.1.1</v>
      </c>
      <c r="AR85" s="1869"/>
    </row>
    <row customHeight="1" ht="17.25">
      <c r="A86" s="1856"/>
      <c r="B86" s="1869"/>
      <c r="C86" s="1861"/>
      <c r="D86" s="1846"/>
      <c r="E86" s="1863"/>
      <c r="F86" s="1800"/>
      <c r="G86" s="1864"/>
      <c r="H86" s="1846"/>
      <c r="I86" s="1846"/>
      <c r="J86" s="1865"/>
      <c r="K86" s="1776"/>
      <c r="L86" s="2124"/>
      <c r="M86" s="2124"/>
      <c r="N86" s="2520"/>
      <c r="O86" s="2202"/>
      <c r="P86" s="2124"/>
      <c r="Q86" s="2124"/>
      <c r="R86" s="2518"/>
      <c r="S86" s="2123"/>
      <c r="T86" s="333"/>
      <c r="U86" s="334"/>
      <c r="V86" s="334" t="s">
        <v>268</v>
      </c>
      <c r="W86" s="335"/>
      <c r="X86" s="1869"/>
      <c r="Y86" s="1275"/>
      <c r="Z86" s="1275"/>
      <c r="AA86" s="1275"/>
      <c r="AB86" s="1275"/>
      <c r="AC86" s="1275"/>
      <c r="AD86" s="1275"/>
      <c r="AE86" s="1275"/>
      <c r="AF86" s="1275"/>
      <c r="AG86" s="1275"/>
      <c r="AH86" s="1275"/>
      <c r="AI86" s="1275"/>
      <c r="AJ86" s="1275"/>
      <c r="AK86" s="1275"/>
      <c r="AL86" s="1869"/>
      <c r="AM86" s="1869"/>
      <c r="AN86" s="1869"/>
      <c r="AO86" s="1869"/>
      <c r="AP86" s="1869"/>
      <c r="AQ86" s="1869"/>
      <c r="AR86" s="1869"/>
    </row>
    <row customHeight="1" ht="17.25">
      <c r="A87" s="1856"/>
      <c r="B87" s="1869"/>
      <c r="C87" s="1861"/>
      <c r="D87" s="1846"/>
      <c r="E87" s="1863"/>
      <c r="F87" s="1800"/>
      <c r="G87" s="1864"/>
      <c r="H87" s="1846"/>
      <c r="I87" s="1846"/>
      <c r="J87" s="1865"/>
      <c r="K87" s="1776"/>
      <c r="L87" s="2519"/>
      <c r="M87" s="2519"/>
      <c r="N87" s="2521"/>
      <c r="O87" s="2128"/>
      <c r="P87" s="333"/>
      <c r="Q87" s="334"/>
      <c r="R87" s="334" t="s">
        <v>269</v>
      </c>
      <c r="S87" s="1862"/>
      <c r="T87" s="1862"/>
      <c r="U87" s="1862"/>
      <c r="V87" s="1862"/>
      <c r="W87" s="335"/>
      <c r="X87" s="1869"/>
      <c r="Y87" s="1275"/>
      <c r="Z87" s="1275"/>
      <c r="AA87" s="1275"/>
      <c r="AB87" s="1275"/>
      <c r="AC87" s="1275"/>
      <c r="AD87" s="1275"/>
      <c r="AE87" s="1275"/>
      <c r="AF87" s="1275"/>
      <c r="AG87" s="1275"/>
      <c r="AH87" s="1275"/>
      <c r="AI87" s="1275"/>
      <c r="AJ87" s="1275"/>
      <c r="AK87" s="1275"/>
      <c r="AL87" s="1869"/>
      <c r="AM87" s="1869"/>
      <c r="AN87" s="1869"/>
      <c r="AO87" s="1869"/>
      <c r="AP87" s="1869"/>
      <c r="AQ87" s="1869"/>
      <c r="AR87" s="1869"/>
    </row>
    <row customHeight="1" ht="17.25">
      <c r="A88" s="1856"/>
      <c r="B88" s="1869"/>
      <c r="C88" s="1858"/>
      <c r="D88" s="1846"/>
      <c r="E88" s="1863"/>
      <c r="F88" s="1800"/>
      <c r="G88" s="1864"/>
      <c r="H88" s="1846"/>
      <c r="I88" s="1846"/>
      <c r="J88" s="1865"/>
      <c r="K88" s="1776"/>
      <c r="L88" s="2124" t="s">
        <v>108</v>
      </c>
      <c r="M88" s="2124" t="s">
        <v>152</v>
      </c>
      <c r="N88" s="2520" t="str">
        <f>IF(Z88="","",INDEX(TERRITORY_MR_LIST,MATCH(Z88,TERRITORY_LIST_ID,0)))</f>
        <v>Территория 12</v>
      </c>
      <c r="O88" s="2201" t="s">
        <v>64</v>
      </c>
      <c r="P88" s="2124"/>
      <c r="Q88" s="2124" t="s">
        <v>141</v>
      </c>
      <c r="R88" s="2518" t="s">
        <v>311</v>
      </c>
      <c r="S88" s="2123" t="s">
        <v>19</v>
      </c>
      <c r="T88" s="1827"/>
      <c r="U88" s="1827" t="s">
        <v>141</v>
      </c>
      <c r="V88" s="3838" t="s">
        <v>28</v>
      </c>
      <c r="W88" s="1817"/>
      <c r="X88" s="1869"/>
      <c r="Y88" s="1283"/>
      <c r="Z88" s="1283" t="s">
        <v>153</v>
      </c>
      <c r="AA88" s="1283"/>
      <c r="AB88" s="1283"/>
      <c r="AC88" s="1990" t="s">
        <v>263</v>
      </c>
      <c r="AD88" s="1990" t="s">
        <v>264</v>
      </c>
      <c r="AE88" s="1283" t="s">
        <v>312</v>
      </c>
      <c r="AF88" s="1283" t="s">
        <v>313</v>
      </c>
      <c r="AG88" s="1283" t="s">
        <v>314</v>
      </c>
      <c r="AH88" s="1283" t="str">
        <f>IF($E$53=0,"",$E$53)</f>
        <v>Плата за подключение (технологическое присоединение) к системе теплоснабжения</v>
      </c>
      <c r="AI88" s="1283" t="str">
        <f>IF($G$53=0,"",$G$53)</f>
        <v>Подключение (технологическое присоединение) к системе теплоснабжения</v>
      </c>
      <c r="AJ88" s="1283" t="str">
        <f>IF($J$53=0,"",$J$53)</f>
        <v>Расходы на проведение мероприятий по подключению объектов заявителей</v>
      </c>
      <c r="AK88" s="1283" t="str">
        <f>IF($K$88="нет","без дифференциации",IF($N$88=0,"",$N$88))</f>
        <v>Территория 12</v>
      </c>
      <c r="AL88" s="1860" t="str">
        <f>IF($O$88="нет","без дифференциации",IF($R$88=0,"",$R$88))</f>
        <v>с. Спасское, муниципального округа Спасск-Дальний</v>
      </c>
      <c r="AM88" s="1860" t="str">
        <f>IF($S$88="нет","без дифференциации",IF($V$88=0,"",$V$88))</f>
        <v>без дифференциации</v>
      </c>
      <c r="AN88" s="1283">
        <f>$I$53</f>
        <v>1</v>
      </c>
      <c r="AO88" s="1283" t="str">
        <f>$I$53&amp;"."&amp;$M$88</f>
        <v>1.12</v>
      </c>
      <c r="AP88" s="1283" t="str">
        <f>$I$53&amp;"."&amp;$M$88&amp;"."&amp;$Q$88</f>
        <v>1.12.1</v>
      </c>
      <c r="AQ88" s="1283" t="str">
        <f>$I$53&amp;"."&amp;$M$88&amp;"."&amp;$Q$88&amp;"."&amp;$U$88</f>
        <v>1.12.1.1</v>
      </c>
      <c r="AR88" s="1869"/>
    </row>
    <row customHeight="1" ht="17.25">
      <c r="A89" s="1856"/>
      <c r="B89" s="1869"/>
      <c r="C89" s="1861"/>
      <c r="D89" s="1846"/>
      <c r="E89" s="1863"/>
      <c r="F89" s="1800"/>
      <c r="G89" s="1864"/>
      <c r="H89" s="1846"/>
      <c r="I89" s="1846"/>
      <c r="J89" s="1865"/>
      <c r="K89" s="1776"/>
      <c r="L89" s="2124"/>
      <c r="M89" s="2124"/>
      <c r="N89" s="2520"/>
      <c r="O89" s="2202"/>
      <c r="P89" s="2124"/>
      <c r="Q89" s="2124"/>
      <c r="R89" s="2518"/>
      <c r="S89" s="2123"/>
      <c r="T89" s="333"/>
      <c r="U89" s="334"/>
      <c r="V89" s="334" t="s">
        <v>268</v>
      </c>
      <c r="W89" s="335"/>
      <c r="X89" s="1869"/>
      <c r="Y89" s="1275"/>
      <c r="Z89" s="1275"/>
      <c r="AA89" s="1275"/>
      <c r="AB89" s="1275"/>
      <c r="AC89" s="1275"/>
      <c r="AD89" s="1275"/>
      <c r="AE89" s="1275"/>
      <c r="AF89" s="1275"/>
      <c r="AG89" s="1275"/>
      <c r="AH89" s="1275"/>
      <c r="AI89" s="1275"/>
      <c r="AJ89" s="1275"/>
      <c r="AK89" s="1275"/>
      <c r="AL89" s="1869"/>
      <c r="AM89" s="1869"/>
      <c r="AN89" s="1869"/>
      <c r="AO89" s="1869"/>
      <c r="AP89" s="1869"/>
      <c r="AQ89" s="1869"/>
      <c r="AR89" s="1869"/>
    </row>
    <row customHeight="1" ht="17.25">
      <c r="A90" s="1856"/>
      <c r="B90" s="1869"/>
      <c r="C90" s="1861"/>
      <c r="D90" s="1846"/>
      <c r="E90" s="1863"/>
      <c r="F90" s="1800"/>
      <c r="G90" s="1864"/>
      <c r="H90" s="1846"/>
      <c r="I90" s="1846"/>
      <c r="J90" s="1865"/>
      <c r="K90" s="1776"/>
      <c r="L90" s="2519"/>
      <c r="M90" s="2519"/>
      <c r="N90" s="2521"/>
      <c r="O90" s="2128"/>
      <c r="P90" s="333"/>
      <c r="Q90" s="334"/>
      <c r="R90" s="334" t="s">
        <v>269</v>
      </c>
      <c r="S90" s="1862"/>
      <c r="T90" s="1862"/>
      <c r="U90" s="1862"/>
      <c r="V90" s="1862"/>
      <c r="W90" s="335"/>
      <c r="X90" s="1869"/>
      <c r="Y90" s="1275"/>
      <c r="Z90" s="1275"/>
      <c r="AA90" s="1275"/>
      <c r="AB90" s="1275"/>
      <c r="AC90" s="1275"/>
      <c r="AD90" s="1275"/>
      <c r="AE90" s="1275"/>
      <c r="AF90" s="1275"/>
      <c r="AG90" s="1275"/>
      <c r="AH90" s="1275"/>
      <c r="AI90" s="1275"/>
      <c r="AJ90" s="1275"/>
      <c r="AK90" s="1275"/>
      <c r="AL90" s="1869"/>
      <c r="AM90" s="1869"/>
      <c r="AN90" s="1869"/>
      <c r="AO90" s="1869"/>
      <c r="AP90" s="1869"/>
      <c r="AQ90" s="1869"/>
      <c r="AR90" s="1869"/>
    </row>
    <row customHeight="1" ht="17.25">
      <c r="A91" s="1856"/>
      <c r="B91" s="1869"/>
      <c r="C91" s="1858"/>
      <c r="D91" s="1846"/>
      <c r="E91" s="1863"/>
      <c r="F91" s="1800"/>
      <c r="G91" s="1864"/>
      <c r="H91" s="1846"/>
      <c r="I91" s="1846"/>
      <c r="J91" s="1865"/>
      <c r="K91" s="1776"/>
      <c r="L91" s="2124" t="s">
        <v>108</v>
      </c>
      <c r="M91" s="2124" t="s">
        <v>158</v>
      </c>
      <c r="N91" s="2520" t="str">
        <f>IF(Z91="","",INDEX(TERRITORY_MR_LIST,MATCH(Z91,TERRITORY_LIST_ID,0)))</f>
        <v>Территория 13</v>
      </c>
      <c r="O91" s="2201" t="s">
        <v>64</v>
      </c>
      <c r="P91" s="2124"/>
      <c r="Q91" s="2124" t="s">
        <v>141</v>
      </c>
      <c r="R91" s="2518" t="s">
        <v>160</v>
      </c>
      <c r="S91" s="2123" t="s">
        <v>19</v>
      </c>
      <c r="T91" s="1827"/>
      <c r="U91" s="1827" t="s">
        <v>141</v>
      </c>
      <c r="V91" s="3913" t="s">
        <v>28</v>
      </c>
      <c r="W91" s="1817"/>
      <c r="X91" s="1869"/>
      <c r="Y91" s="1283"/>
      <c r="Z91" s="1283" t="s">
        <v>159</v>
      </c>
      <c r="AA91" s="1283"/>
      <c r="AB91" s="1283"/>
      <c r="AC91" s="1990" t="s">
        <v>263</v>
      </c>
      <c r="AD91" s="1990" t="s">
        <v>264</v>
      </c>
      <c r="AE91" s="1283" t="s">
        <v>315</v>
      </c>
      <c r="AF91" s="1283" t="s">
        <v>316</v>
      </c>
      <c r="AG91" s="1283" t="s">
        <v>317</v>
      </c>
      <c r="AH91" s="1283" t="str">
        <f>IF($E$53=0,"",$E$53)</f>
        <v>Плата за подключение (технологическое присоединение) к системе теплоснабжения</v>
      </c>
      <c r="AI91" s="1283" t="str">
        <f>IF($G$53=0,"",$G$53)</f>
        <v>Подключение (технологическое присоединение) к системе теплоснабжения</v>
      </c>
      <c r="AJ91" s="1283" t="str">
        <f>IF($J$53=0,"",$J$53)</f>
        <v>Расходы на проведение мероприятий по подключению объектов заявителей</v>
      </c>
      <c r="AK91" s="1283" t="str">
        <f>IF($K$91="нет","без дифференциации",IF($N$91=0,"",$N$91))</f>
        <v>Территория 13</v>
      </c>
      <c r="AL91" s="1860" t="str">
        <f>IF($O$91="нет","без дифференциации",IF($R$91=0,"",$R$91))</f>
        <v>Арсеньевский городской округ</v>
      </c>
      <c r="AM91" s="1860" t="str">
        <f>IF($S$91="нет","без дифференциации",IF($V$91=0,"",$V$91))</f>
        <v>без дифференциации</v>
      </c>
      <c r="AN91" s="1283">
        <f>$I$53</f>
        <v>1</v>
      </c>
      <c r="AO91" s="1283" t="str">
        <f>$I$53&amp;"."&amp;$M$91</f>
        <v>1.13</v>
      </c>
      <c r="AP91" s="1283" t="str">
        <f>$I$53&amp;"."&amp;$M$91&amp;"."&amp;$Q$91</f>
        <v>1.13.1</v>
      </c>
      <c r="AQ91" s="1283" t="str">
        <f>$I$53&amp;"."&amp;$M$91&amp;"."&amp;$Q$91&amp;"."&amp;$U$91</f>
        <v>1.13.1.1</v>
      </c>
      <c r="AR91" s="1869"/>
    </row>
    <row customHeight="1" ht="17.25">
      <c r="A92" s="1856"/>
      <c r="B92" s="1869"/>
      <c r="C92" s="1861"/>
      <c r="D92" s="1846"/>
      <c r="E92" s="1863"/>
      <c r="F92" s="1800"/>
      <c r="G92" s="1864"/>
      <c r="H92" s="1846"/>
      <c r="I92" s="1846"/>
      <c r="J92" s="1865"/>
      <c r="K92" s="1776"/>
      <c r="L92" s="2124"/>
      <c r="M92" s="2124"/>
      <c r="N92" s="2520"/>
      <c r="O92" s="2202"/>
      <c r="P92" s="2124"/>
      <c r="Q92" s="2124"/>
      <c r="R92" s="2518"/>
      <c r="S92" s="2123"/>
      <c r="T92" s="333"/>
      <c r="U92" s="334"/>
      <c r="V92" s="334" t="s">
        <v>268</v>
      </c>
      <c r="W92" s="335"/>
      <c r="X92" s="1869"/>
      <c r="Y92" s="1275"/>
      <c r="Z92" s="1275"/>
      <c r="AA92" s="1275"/>
      <c r="AB92" s="1275"/>
      <c r="AC92" s="1275"/>
      <c r="AD92" s="1275"/>
      <c r="AE92" s="1275"/>
      <c r="AF92" s="1275"/>
      <c r="AG92" s="1275"/>
      <c r="AH92" s="1275"/>
      <c r="AI92" s="1275"/>
      <c r="AJ92" s="1275"/>
      <c r="AK92" s="1275"/>
      <c r="AL92" s="1869"/>
      <c r="AM92" s="1869"/>
      <c r="AN92" s="1869"/>
      <c r="AO92" s="1869"/>
      <c r="AP92" s="1869"/>
      <c r="AQ92" s="1869"/>
      <c r="AR92" s="1869"/>
    </row>
    <row customHeight="1" ht="17.25">
      <c r="A93" s="1856"/>
      <c r="B93" s="1869"/>
      <c r="C93" s="1861"/>
      <c r="D93" s="1846"/>
      <c r="E93" s="1863"/>
      <c r="F93" s="1800"/>
      <c r="G93" s="1864"/>
      <c r="H93" s="1846"/>
      <c r="I93" s="1846"/>
      <c r="J93" s="1865"/>
      <c r="K93" s="1776"/>
      <c r="L93" s="2519"/>
      <c r="M93" s="2519"/>
      <c r="N93" s="2521"/>
      <c r="O93" s="2128"/>
      <c r="P93" s="333"/>
      <c r="Q93" s="334"/>
      <c r="R93" s="334" t="s">
        <v>269</v>
      </c>
      <c r="S93" s="1862"/>
      <c r="T93" s="1862"/>
      <c r="U93" s="1862"/>
      <c r="V93" s="1862"/>
      <c r="W93" s="335"/>
      <c r="X93" s="1869"/>
      <c r="Y93" s="1275"/>
      <c r="Z93" s="1275"/>
      <c r="AA93" s="1275"/>
      <c r="AB93" s="1275"/>
      <c r="AC93" s="1275"/>
      <c r="AD93" s="1275"/>
      <c r="AE93" s="1275"/>
      <c r="AF93" s="1275"/>
      <c r="AG93" s="1275"/>
      <c r="AH93" s="1275"/>
      <c r="AI93" s="1275"/>
      <c r="AJ93" s="1275"/>
      <c r="AK93" s="1275"/>
      <c r="AL93" s="1869"/>
      <c r="AM93" s="1869"/>
      <c r="AN93" s="1869"/>
      <c r="AO93" s="1869"/>
      <c r="AP93" s="1869"/>
      <c r="AQ93" s="1869"/>
      <c r="AR93" s="1869"/>
    </row>
    <row customHeight="1" ht="17.25">
      <c r="A94" s="1856"/>
      <c r="B94" s="1869"/>
      <c r="C94" s="1858"/>
      <c r="D94" s="1846"/>
      <c r="E94" s="1863"/>
      <c r="F94" s="1800"/>
      <c r="G94" s="1864"/>
      <c r="H94" s="1846"/>
      <c r="I94" s="1846"/>
      <c r="J94" s="1865"/>
      <c r="K94" s="1776"/>
      <c r="L94" s="2124" t="s">
        <v>108</v>
      </c>
      <c r="M94" s="2124" t="s">
        <v>162</v>
      </c>
      <c r="N94" s="2520" t="str">
        <f>IF(Z94="","",INDEX(TERRITORY_MR_LIST,MATCH(Z94,TERRITORY_LIST_ID,0)))</f>
        <v>Территория 14</v>
      </c>
      <c r="O94" s="2201" t="s">
        <v>64</v>
      </c>
      <c r="P94" s="2124"/>
      <c r="Q94" s="2124" t="s">
        <v>141</v>
      </c>
      <c r="R94" s="2518" t="s">
        <v>318</v>
      </c>
      <c r="S94" s="2123" t="s">
        <v>19</v>
      </c>
      <c r="T94" s="1827"/>
      <c r="U94" s="1827" t="s">
        <v>141</v>
      </c>
      <c r="V94" s="3913" t="s">
        <v>28</v>
      </c>
      <c r="W94" s="1817"/>
      <c r="X94" s="1869"/>
      <c r="Y94" s="1283"/>
      <c r="Z94" s="1283" t="s">
        <v>163</v>
      </c>
      <c r="AA94" s="1283"/>
      <c r="AB94" s="1283"/>
      <c r="AC94" s="1990" t="s">
        <v>263</v>
      </c>
      <c r="AD94" s="1990" t="s">
        <v>264</v>
      </c>
      <c r="AE94" s="1283" t="s">
        <v>319</v>
      </c>
      <c r="AF94" s="1283" t="s">
        <v>320</v>
      </c>
      <c r="AG94" s="1283" t="s">
        <v>321</v>
      </c>
      <c r="AH94" s="1283" t="str">
        <f>IF($E$53=0,"",$E$53)</f>
        <v>Плата за подключение (технологическое присоединение) к системе теплоснабжения</v>
      </c>
      <c r="AI94" s="1283" t="str">
        <f>IF($G$53=0,"",$G$53)</f>
        <v>Подключение (технологическое присоединение) к системе теплоснабжения</v>
      </c>
      <c r="AJ94" s="1283" t="str">
        <f>IF($J$53=0,"",$J$53)</f>
        <v>Расходы на проведение мероприятий по подключению объектов заявителей</v>
      </c>
      <c r="AK94" s="1283" t="str">
        <f>IF($K$94="нет","без дифференциации",IF($N$94=0,"",$N$94))</f>
        <v>Территория 14</v>
      </c>
      <c r="AL94" s="1860" t="str">
        <f>IF($O$94="нет","без дифференциации",IF($R$94=0,"",$R$94))</f>
        <v>с. Углекаменск, муниципального округа город Партизанск</v>
      </c>
      <c r="AM94" s="1860" t="str">
        <f>IF($S$94="нет","без дифференциации",IF($V$94=0,"",$V$94))</f>
        <v>без дифференциации</v>
      </c>
      <c r="AN94" s="1283">
        <f>$I$53</f>
        <v>1</v>
      </c>
      <c r="AO94" s="1283" t="str">
        <f>$I$53&amp;"."&amp;$M$94</f>
        <v>1.14</v>
      </c>
      <c r="AP94" s="1283" t="str">
        <f>$I$53&amp;"."&amp;$M$94&amp;"."&amp;$Q$94</f>
        <v>1.14.1</v>
      </c>
      <c r="AQ94" s="1283" t="str">
        <f>$I$53&amp;"."&amp;$M$94&amp;"."&amp;$Q$94&amp;"."&amp;$U$94</f>
        <v>1.14.1.1</v>
      </c>
      <c r="AR94" s="1869"/>
    </row>
    <row customHeight="1" ht="17.25">
      <c r="A95" s="1856"/>
      <c r="B95" s="1869"/>
      <c r="C95" s="1861"/>
      <c r="D95" s="1846"/>
      <c r="E95" s="1863"/>
      <c r="F95" s="1800"/>
      <c r="G95" s="1864"/>
      <c r="H95" s="1846"/>
      <c r="I95" s="1846"/>
      <c r="J95" s="1865"/>
      <c r="K95" s="1776"/>
      <c r="L95" s="2124"/>
      <c r="M95" s="2124"/>
      <c r="N95" s="2520"/>
      <c r="O95" s="2202"/>
      <c r="P95" s="2124"/>
      <c r="Q95" s="2124"/>
      <c r="R95" s="2518"/>
      <c r="S95" s="2123"/>
      <c r="T95" s="333"/>
      <c r="U95" s="334"/>
      <c r="V95" s="334" t="s">
        <v>268</v>
      </c>
      <c r="W95" s="335"/>
      <c r="X95" s="1869"/>
      <c r="Y95" s="1275"/>
      <c r="Z95" s="1275"/>
      <c r="AA95" s="1275"/>
      <c r="AB95" s="1275"/>
      <c r="AC95" s="1275"/>
      <c r="AD95" s="1275"/>
      <c r="AE95" s="1275"/>
      <c r="AF95" s="1275"/>
      <c r="AG95" s="1275"/>
      <c r="AH95" s="1275"/>
      <c r="AI95" s="1275"/>
      <c r="AJ95" s="1275"/>
      <c r="AK95" s="1275"/>
      <c r="AL95" s="1869"/>
      <c r="AM95" s="1869"/>
      <c r="AN95" s="1869"/>
      <c r="AO95" s="1869"/>
      <c r="AP95" s="1869"/>
      <c r="AQ95" s="1869"/>
      <c r="AR95" s="1869"/>
    </row>
    <row customHeight="1" ht="17.25">
      <c r="A96" s="1856"/>
      <c r="B96" s="1869"/>
      <c r="C96" s="1861"/>
      <c r="D96" s="1846"/>
      <c r="E96" s="1863"/>
      <c r="F96" s="1800"/>
      <c r="G96" s="1864"/>
      <c r="H96" s="1846"/>
      <c r="I96" s="1846"/>
      <c r="J96" s="1865"/>
      <c r="K96" s="1776"/>
      <c r="L96" s="2519"/>
      <c r="M96" s="2519"/>
      <c r="N96" s="2521"/>
      <c r="O96" s="2128"/>
      <c r="P96" s="333"/>
      <c r="Q96" s="334"/>
      <c r="R96" s="334" t="s">
        <v>269</v>
      </c>
      <c r="S96" s="1862"/>
      <c r="T96" s="1862"/>
      <c r="U96" s="1862"/>
      <c r="V96" s="1862"/>
      <c r="W96" s="335"/>
      <c r="X96" s="1869"/>
      <c r="Y96" s="1275"/>
      <c r="Z96" s="1275"/>
      <c r="AA96" s="1275"/>
      <c r="AB96" s="1275"/>
      <c r="AC96" s="1275"/>
      <c r="AD96" s="1275"/>
      <c r="AE96" s="1275"/>
      <c r="AF96" s="1275"/>
      <c r="AG96" s="1275"/>
      <c r="AH96" s="1275"/>
      <c r="AI96" s="1275"/>
      <c r="AJ96" s="1275"/>
      <c r="AK96" s="1275"/>
      <c r="AL96" s="1869"/>
      <c r="AM96" s="1869"/>
      <c r="AN96" s="1869"/>
      <c r="AO96" s="1869"/>
      <c r="AP96" s="1869"/>
      <c r="AQ96" s="1869"/>
      <c r="AR96" s="1869"/>
    </row>
    <row customHeight="1" ht="17.25">
      <c r="A97" s="1856"/>
      <c r="B97" s="1869"/>
      <c r="C97" s="1858"/>
      <c r="D97" s="1846"/>
      <c r="E97" s="1863"/>
      <c r="F97" s="1800"/>
      <c r="G97" s="1864"/>
      <c r="H97" s="1846"/>
      <c r="I97" s="1846"/>
      <c r="J97" s="1865"/>
      <c r="K97" s="1776"/>
      <c r="L97" s="2124" t="s">
        <v>108</v>
      </c>
      <c r="M97" s="2124" t="s">
        <v>167</v>
      </c>
      <c r="N97" s="2520" t="str">
        <f>IF(Z97="","",INDEX(TERRITORY_MR_LIST,MATCH(Z97,TERRITORY_LIST_ID,0)))</f>
        <v>Территория 15</v>
      </c>
      <c r="O97" s="2201" t="s">
        <v>64</v>
      </c>
      <c r="P97" s="2124"/>
      <c r="Q97" s="2124" t="s">
        <v>141</v>
      </c>
      <c r="R97" s="2518" t="s">
        <v>322</v>
      </c>
      <c r="S97" s="2123" t="s">
        <v>19</v>
      </c>
      <c r="T97" s="1827"/>
      <c r="U97" s="1827" t="s">
        <v>141</v>
      </c>
      <c r="V97" s="3913" t="s">
        <v>28</v>
      </c>
      <c r="W97" s="1817"/>
      <c r="X97" s="1869"/>
      <c r="Y97" s="1283"/>
      <c r="Z97" s="1283" t="s">
        <v>168</v>
      </c>
      <c r="AA97" s="1283"/>
      <c r="AB97" s="1283"/>
      <c r="AC97" s="1990" t="s">
        <v>263</v>
      </c>
      <c r="AD97" s="1990" t="s">
        <v>264</v>
      </c>
      <c r="AE97" s="1283" t="s">
        <v>323</v>
      </c>
      <c r="AF97" s="1283" t="s">
        <v>324</v>
      </c>
      <c r="AG97" s="1283" t="s">
        <v>325</v>
      </c>
      <c r="AH97" s="1283" t="str">
        <f>IF($E$53=0,"",$E$53)</f>
        <v>Плата за подключение (технологическое присоединение) к системе теплоснабжения</v>
      </c>
      <c r="AI97" s="1283" t="str">
        <f>IF($G$53=0,"",$G$53)</f>
        <v>Подключение (технологическое присоединение) к системе теплоснабжения</v>
      </c>
      <c r="AJ97" s="1283" t="str">
        <f>IF($J$53=0,"",$J$53)</f>
        <v>Расходы на проведение мероприятий по подключению объектов заявителей</v>
      </c>
      <c r="AK97" s="1283" t="str">
        <f>IF($K$97="нет","без дифференциации",IF($N$97=0,"",$N$97))</f>
        <v>Территория 15</v>
      </c>
      <c r="AL97" s="1860" t="str">
        <f>IF($O$97="нет","без дифференциации",IF($R$97=0,"",$R$97))</f>
        <v>пос. Волчанец, Партизанского муниципального округа</v>
      </c>
      <c r="AM97" s="1860" t="str">
        <f>IF($S$97="нет","без дифференциации",IF($V$97=0,"",$V$97))</f>
        <v>без дифференциации</v>
      </c>
      <c r="AN97" s="1283">
        <f>$I$53</f>
        <v>1</v>
      </c>
      <c r="AO97" s="1283" t="str">
        <f>$I$53&amp;"."&amp;$M$97</f>
        <v>1.15</v>
      </c>
      <c r="AP97" s="1283" t="str">
        <f>$I$53&amp;"."&amp;$M$97&amp;"."&amp;$Q$97</f>
        <v>1.15.1</v>
      </c>
      <c r="AQ97" s="1283" t="str">
        <f>$I$53&amp;"."&amp;$M$97&amp;"."&amp;$Q$97&amp;"."&amp;$U$97</f>
        <v>1.15.1.1</v>
      </c>
      <c r="AR97" s="1869"/>
    </row>
    <row customHeight="1" ht="17.25">
      <c r="A98" s="1856"/>
      <c r="B98" s="1869"/>
      <c r="C98" s="1861"/>
      <c r="D98" s="1846"/>
      <c r="E98" s="1863"/>
      <c r="F98" s="1800"/>
      <c r="G98" s="1864"/>
      <c r="H98" s="1846"/>
      <c r="I98" s="1846"/>
      <c r="J98" s="1865"/>
      <c r="K98" s="1776"/>
      <c r="L98" s="2124"/>
      <c r="M98" s="2124"/>
      <c r="N98" s="2520"/>
      <c r="O98" s="2202"/>
      <c r="P98" s="2124"/>
      <c r="Q98" s="2124"/>
      <c r="R98" s="2518"/>
      <c r="S98" s="2123"/>
      <c r="T98" s="333"/>
      <c r="U98" s="334"/>
      <c r="V98" s="334" t="s">
        <v>268</v>
      </c>
      <c r="W98" s="335"/>
      <c r="X98" s="1869"/>
      <c r="Y98" s="1275"/>
      <c r="Z98" s="1275"/>
      <c r="AA98" s="1275"/>
      <c r="AB98" s="1275"/>
      <c r="AC98" s="1275"/>
      <c r="AD98" s="1275"/>
      <c r="AE98" s="1275"/>
      <c r="AF98" s="1275"/>
      <c r="AG98" s="1275"/>
      <c r="AH98" s="1275"/>
      <c r="AI98" s="1275"/>
      <c r="AJ98" s="1275"/>
      <c r="AK98" s="1275"/>
      <c r="AL98" s="1869"/>
      <c r="AM98" s="1869"/>
      <c r="AN98" s="1869"/>
      <c r="AO98" s="1869"/>
      <c r="AP98" s="1869"/>
      <c r="AQ98" s="1869"/>
      <c r="AR98" s="1869"/>
    </row>
    <row customHeight="1" ht="17.25">
      <c r="A99" s="1856"/>
      <c r="B99" s="1869"/>
      <c r="C99" s="1861"/>
      <c r="D99" s="1846"/>
      <c r="E99" s="1863"/>
      <c r="F99" s="1800"/>
      <c r="G99" s="1864"/>
      <c r="H99" s="1846"/>
      <c r="I99" s="1846"/>
      <c r="J99" s="1865"/>
      <c r="K99" s="1776"/>
      <c r="L99" s="2519"/>
      <c r="M99" s="2519"/>
      <c r="N99" s="2521"/>
      <c r="O99" s="2128"/>
      <c r="P99" s="333"/>
      <c r="Q99" s="334"/>
      <c r="R99" s="334" t="s">
        <v>269</v>
      </c>
      <c r="S99" s="1862"/>
      <c r="T99" s="1862"/>
      <c r="U99" s="1862"/>
      <c r="V99" s="1862"/>
      <c r="W99" s="335"/>
      <c r="X99" s="1869"/>
      <c r="Y99" s="1275"/>
      <c r="Z99" s="1275"/>
      <c r="AA99" s="1275"/>
      <c r="AB99" s="1275"/>
      <c r="AC99" s="1275"/>
      <c r="AD99" s="1275"/>
      <c r="AE99" s="1275"/>
      <c r="AF99" s="1275"/>
      <c r="AG99" s="1275"/>
      <c r="AH99" s="1275"/>
      <c r="AI99" s="1275"/>
      <c r="AJ99" s="1275"/>
      <c r="AK99" s="1275"/>
      <c r="AL99" s="1869"/>
      <c r="AM99" s="1869"/>
      <c r="AN99" s="1869"/>
      <c r="AO99" s="1869"/>
      <c r="AP99" s="1869"/>
      <c r="AQ99" s="1869"/>
      <c r="AR99" s="1869"/>
    </row>
    <row customHeight="1" ht="17.25">
      <c r="A100" s="1856"/>
      <c r="B100" s="1869"/>
      <c r="C100" s="1858"/>
      <c r="D100" s="1846"/>
      <c r="E100" s="1863"/>
      <c r="F100" s="1800"/>
      <c r="G100" s="1864"/>
      <c r="H100" s="1846"/>
      <c r="I100" s="1846"/>
      <c r="J100" s="1865"/>
      <c r="K100" s="1776"/>
      <c r="L100" s="2124" t="s">
        <v>108</v>
      </c>
      <c r="M100" s="2124" t="s">
        <v>114</v>
      </c>
      <c r="N100" s="2520" t="str">
        <f>IF(Z100="","",INDEX(TERRITORY_MR_LIST,MATCH(Z100,TERRITORY_LIST_ID,0)))</f>
        <v>Территория 16</v>
      </c>
      <c r="O100" s="2201" t="s">
        <v>64</v>
      </c>
      <c r="P100" s="2124"/>
      <c r="Q100" s="2124" t="s">
        <v>141</v>
      </c>
      <c r="R100" s="2518" t="s">
        <v>326</v>
      </c>
      <c r="S100" s="2123" t="s">
        <v>19</v>
      </c>
      <c r="T100" s="1827"/>
      <c r="U100" s="1827" t="s">
        <v>141</v>
      </c>
      <c r="V100" s="3913" t="s">
        <v>28</v>
      </c>
      <c r="W100" s="1817"/>
      <c r="X100" s="1869"/>
      <c r="Y100" s="1283"/>
      <c r="Z100" s="1283" t="s">
        <v>172</v>
      </c>
      <c r="AA100" s="1283"/>
      <c r="AB100" s="1283"/>
      <c r="AC100" s="1990" t="s">
        <v>263</v>
      </c>
      <c r="AD100" s="1990" t="s">
        <v>264</v>
      </c>
      <c r="AE100" s="1283" t="s">
        <v>327</v>
      </c>
      <c r="AF100" s="1283" t="s">
        <v>328</v>
      </c>
      <c r="AG100" s="1283" t="s">
        <v>329</v>
      </c>
      <c r="AH100" s="1283" t="str">
        <f>IF($E$53=0,"",$E$53)</f>
        <v>Плата за подключение (технологическое присоединение) к системе теплоснабжения</v>
      </c>
      <c r="AI100" s="1283" t="str">
        <f>IF($G$53=0,"",$G$53)</f>
        <v>Подключение (технологическое присоединение) к системе теплоснабжения</v>
      </c>
      <c r="AJ100" s="1283" t="str">
        <f>IF($J$53=0,"",$J$53)</f>
        <v>Расходы на проведение мероприятий по подключению объектов заявителей</v>
      </c>
      <c r="AK100" s="1283" t="str">
        <f>IF($K$100="нет","без дифференциации",IF($N$100=0,"",$N$100))</f>
        <v>Территория 16</v>
      </c>
      <c r="AL100" s="1860" t="str">
        <f>IF($O$100="нет","без дифференциации",IF($R$100=0,"",$R$100))</f>
        <v>с. Новопокровка, Красноармейского муниципального округа</v>
      </c>
      <c r="AM100" s="1860" t="str">
        <f>IF($S$100="нет","без дифференциации",IF($V$100=0,"",$V$100))</f>
        <v>без дифференциации</v>
      </c>
      <c r="AN100" s="1283">
        <f>$I$53</f>
        <v>1</v>
      </c>
      <c r="AO100" s="1283" t="str">
        <f>$I$53&amp;"."&amp;$M$100</f>
        <v>1.16</v>
      </c>
      <c r="AP100" s="1283" t="str">
        <f>$I$53&amp;"."&amp;$M$100&amp;"."&amp;$Q$100</f>
        <v>1.16.1</v>
      </c>
      <c r="AQ100" s="1283" t="str">
        <f>$I$53&amp;"."&amp;$M$100&amp;"."&amp;$Q$100&amp;"."&amp;$U$100</f>
        <v>1.16.1.1</v>
      </c>
      <c r="AR100" s="1869"/>
    </row>
    <row customHeight="1" ht="17.25">
      <c r="A101" s="1856"/>
      <c r="B101" s="1869"/>
      <c r="C101" s="1861"/>
      <c r="D101" s="1846"/>
      <c r="E101" s="1863"/>
      <c r="F101" s="1800"/>
      <c r="G101" s="1864"/>
      <c r="H101" s="1846"/>
      <c r="I101" s="1846"/>
      <c r="J101" s="1865"/>
      <c r="K101" s="1776"/>
      <c r="L101" s="2124"/>
      <c r="M101" s="2124"/>
      <c r="N101" s="2520"/>
      <c r="O101" s="2202"/>
      <c r="P101" s="2124"/>
      <c r="Q101" s="2124"/>
      <c r="R101" s="2518"/>
      <c r="S101" s="2123"/>
      <c r="T101" s="333"/>
      <c r="U101" s="334"/>
      <c r="V101" s="334" t="s">
        <v>268</v>
      </c>
      <c r="W101" s="335"/>
      <c r="X101" s="1869"/>
      <c r="Y101" s="1275"/>
      <c r="Z101" s="1275"/>
      <c r="AA101" s="1275"/>
      <c r="AB101" s="1275"/>
      <c r="AC101" s="1275"/>
      <c r="AD101" s="1275"/>
      <c r="AE101" s="1275"/>
      <c r="AF101" s="1275"/>
      <c r="AG101" s="1275"/>
      <c r="AH101" s="1275"/>
      <c r="AI101" s="1275"/>
      <c r="AJ101" s="1275"/>
      <c r="AK101" s="1275"/>
      <c r="AL101" s="1869"/>
      <c r="AM101" s="1869"/>
      <c r="AN101" s="1869"/>
      <c r="AO101" s="1869"/>
      <c r="AP101" s="1869"/>
      <c r="AQ101" s="1869"/>
      <c r="AR101" s="1869"/>
    </row>
    <row customHeight="1" ht="17.25">
      <c r="A102" s="1856"/>
      <c r="B102" s="1869"/>
      <c r="C102" s="1861"/>
      <c r="D102" s="1846"/>
      <c r="E102" s="1863"/>
      <c r="F102" s="1800"/>
      <c r="G102" s="1864"/>
      <c r="H102" s="1846"/>
      <c r="I102" s="1846"/>
      <c r="J102" s="1865"/>
      <c r="K102" s="1776"/>
      <c r="L102" s="2519"/>
      <c r="M102" s="2519"/>
      <c r="N102" s="2521"/>
      <c r="O102" s="2128"/>
      <c r="P102" s="333"/>
      <c r="Q102" s="334"/>
      <c r="R102" s="334" t="s">
        <v>269</v>
      </c>
      <c r="S102" s="1862"/>
      <c r="T102" s="1862"/>
      <c r="U102" s="1862"/>
      <c r="V102" s="1862"/>
      <c r="W102" s="335"/>
      <c r="X102" s="1869"/>
      <c r="Y102" s="1275"/>
      <c r="Z102" s="1275"/>
      <c r="AA102" s="1275"/>
      <c r="AB102" s="1275"/>
      <c r="AC102" s="1275"/>
      <c r="AD102" s="1275"/>
      <c r="AE102" s="1275"/>
      <c r="AF102" s="1275"/>
      <c r="AG102" s="1275"/>
      <c r="AH102" s="1275"/>
      <c r="AI102" s="1275"/>
      <c r="AJ102" s="1275"/>
      <c r="AK102" s="1275"/>
      <c r="AL102" s="1869"/>
      <c r="AM102" s="1869"/>
      <c r="AN102" s="1869"/>
      <c r="AO102" s="1869"/>
      <c r="AP102" s="1869"/>
      <c r="AQ102" s="1869"/>
      <c r="AR102" s="1869"/>
    </row>
    <row s="1869" customFormat="1" customHeight="1" ht="17.25">
      <c r="A103" s="337"/>
      <c r="C103" s="225"/>
      <c r="D103" s="2152"/>
      <c r="E103" s="2160"/>
      <c r="F103" s="2162"/>
      <c r="G103" s="2651"/>
      <c r="H103" s="2519"/>
      <c r="I103" s="2519"/>
      <c r="J103" s="2549"/>
      <c r="K103" s="2128"/>
      <c r="L103" s="2661"/>
      <c r="M103" s="2662"/>
      <c r="N103" s="2663" t="s">
        <v>330</v>
      </c>
      <c r="O103" s="2664"/>
      <c r="P103" s="2665"/>
      <c r="Q103" s="2666"/>
      <c r="R103" s="2667"/>
      <c r="S103" s="2668"/>
      <c r="T103" s="2669"/>
      <c r="U103" s="2670"/>
      <c r="V103" s="2671"/>
      <c r="W103" s="2672"/>
      <c r="Y103" s="1283"/>
      <c r="Z103" s="1283"/>
      <c r="AA103" s="1283"/>
      <c r="AB103" s="1283"/>
      <c r="AC103" s="1283"/>
      <c r="AD103" s="1283"/>
      <c r="AE103" s="1283"/>
      <c r="AF103" s="1283"/>
      <c r="AG103" s="1283"/>
      <c r="AH103" s="1283"/>
      <c r="AI103" s="1283"/>
      <c r="AJ103" s="1283"/>
      <c r="AK103" s="1283"/>
      <c r="AL103" s="1283"/>
      <c r="AM103" s="1283"/>
      <c r="AN103" s="1283"/>
      <c r="AO103" s="1283"/>
      <c r="AP103" s="1283"/>
      <c r="AQ103" s="1283"/>
      <c r="AR103" s="1342">
        <v>0</v>
      </c>
    </row>
    <row customHeight="1" ht="21">
      <c r="A104" s="1856"/>
      <c r="B104" s="1869"/>
      <c r="C104" s="1858"/>
      <c r="D104" s="1846"/>
      <c r="E104" s="1863"/>
      <c r="F104" s="1800"/>
      <c r="G104" s="1864"/>
      <c r="H104" s="2545" t="s">
        <v>108</v>
      </c>
      <c r="I104" s="2545" t="s">
        <v>107</v>
      </c>
      <c r="J104" s="2517" t="s">
        <v>331</v>
      </c>
      <c r="K104" s="2201" t="s">
        <v>64</v>
      </c>
      <c r="L104" s="2124"/>
      <c r="M104" s="2124" t="s">
        <v>141</v>
      </c>
      <c r="N104" s="2520" t="str">
        <f>IF(Z104="","",INDEX(TERRITORY_MR_LIST,MATCH(Z104,TERRITORY_LIST_ID,0)))</f>
        <v>Территория 2</v>
      </c>
      <c r="O104" s="2201" t="s">
        <v>64</v>
      </c>
      <c r="P104" s="2124"/>
      <c r="Q104" s="2124" t="s">
        <v>141</v>
      </c>
      <c r="R104" s="2518" t="s">
        <v>111</v>
      </c>
      <c r="S104" s="2123" t="s">
        <v>19</v>
      </c>
      <c r="T104" s="1827"/>
      <c r="U104" s="1827" t="s">
        <v>141</v>
      </c>
      <c r="V104" s="2660" t="s">
        <v>28</v>
      </c>
      <c r="W104" s="1817"/>
      <c r="X104" s="1869"/>
      <c r="Y104" s="1283"/>
      <c r="Z104" s="1283" t="s">
        <v>109</v>
      </c>
      <c r="AA104" s="1283"/>
      <c r="AB104" s="1283"/>
      <c r="AC104" s="1990" t="s">
        <v>263</v>
      </c>
      <c r="AD104" s="1283" t="s">
        <v>332</v>
      </c>
      <c r="AE104" s="1283" t="s">
        <v>333</v>
      </c>
      <c r="AF104" s="1283" t="s">
        <v>334</v>
      </c>
      <c r="AG104" s="1283" t="s">
        <v>335</v>
      </c>
      <c r="AH104" s="1283" t="str">
        <f>IF($E$53=0,"",$E$53)</f>
        <v>Плата за подключение (технологическое присоединение) к системе теплоснабжения</v>
      </c>
      <c r="AI104" s="1283" t="str">
        <f>IF($G$53=0,"",$G$53)</f>
        <v>Подключение (технологическое присоединение) к системе теплоснабжения</v>
      </c>
      <c r="AJ104"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04" s="1283" t="str">
        <f>IF($K$104="нет","без дифференциации",IF($N$104=0,"",$N$104))</f>
        <v>Территория 2</v>
      </c>
      <c r="AL104" s="1860" t="str">
        <f>IF($O$104="нет","без дифференциации",IF($R$104=0,"",$R$104))</f>
        <v>Хасанский муниципальный округ</v>
      </c>
      <c r="AM104" s="1860" t="str">
        <f>IF($S$104="нет","без дифференциации",IF($V$104=0,"",$V$104))</f>
        <v>без дифференциации</v>
      </c>
      <c r="AN104" s="1283" t="str">
        <f>$I$104</f>
        <v>2</v>
      </c>
      <c r="AO104" s="1283" t="str">
        <f>$I$104&amp;"."&amp;$M$104</f>
        <v>2.1</v>
      </c>
      <c r="AP104" s="1283" t="str">
        <f>$I$104&amp;"."&amp;$M$104&amp;"."&amp;$Q$104</f>
        <v>2.1.1</v>
      </c>
      <c r="AQ104" s="1283" t="str">
        <f>$I$104&amp;"."&amp;$M$104&amp;"."&amp;$Q$104&amp;"."&amp;$U$104</f>
        <v>2.1.1.1</v>
      </c>
      <c r="AR104" s="1869"/>
    </row>
    <row customHeight="1" ht="21">
      <c r="A105" s="1856"/>
      <c r="B105" s="1869"/>
      <c r="C105" s="1861"/>
      <c r="D105" s="1846"/>
      <c r="E105" s="1863"/>
      <c r="F105" s="1800"/>
      <c r="G105" s="1864"/>
      <c r="H105" s="2545"/>
      <c r="I105" s="2545"/>
      <c r="J105" s="2517"/>
      <c r="K105" s="2202"/>
      <c r="L105" s="2124"/>
      <c r="M105" s="2124"/>
      <c r="N105" s="2520"/>
      <c r="O105" s="2202"/>
      <c r="P105" s="2124"/>
      <c r="Q105" s="2124"/>
      <c r="R105" s="2518"/>
      <c r="S105" s="2123"/>
      <c r="T105" s="333"/>
      <c r="U105" s="334"/>
      <c r="V105" s="334" t="s">
        <v>268</v>
      </c>
      <c r="W105" s="335"/>
      <c r="X105" s="1869"/>
      <c r="Y105" s="1275"/>
      <c r="Z105" s="1275"/>
      <c r="AA105" s="1275"/>
      <c r="AB105" s="1275"/>
      <c r="AC105" s="1275"/>
      <c r="AD105" s="1275"/>
      <c r="AE105" s="1275"/>
      <c r="AF105" s="1275"/>
      <c r="AG105" s="1275"/>
      <c r="AH105" s="1275"/>
      <c r="AI105" s="1275"/>
      <c r="AJ105" s="1275"/>
      <c r="AK105" s="1275"/>
      <c r="AL105" s="1869"/>
      <c r="AM105" s="1869"/>
      <c r="AN105" s="1869"/>
      <c r="AO105" s="1869"/>
      <c r="AP105" s="1869"/>
      <c r="AQ105" s="1869"/>
      <c r="AR105" s="1869"/>
    </row>
    <row customHeight="1" ht="21">
      <c r="A106" s="1856"/>
      <c r="B106" s="1869"/>
      <c r="C106" s="1861"/>
      <c r="D106" s="1846"/>
      <c r="E106" s="1863"/>
      <c r="F106" s="1800"/>
      <c r="G106" s="1864"/>
      <c r="H106" s="2519"/>
      <c r="I106" s="2519"/>
      <c r="J106" s="2549"/>
      <c r="K106" s="2202"/>
      <c r="L106" s="2519"/>
      <c r="M106" s="2519"/>
      <c r="N106" s="2521"/>
      <c r="O106" s="2128"/>
      <c r="P106" s="333"/>
      <c r="Q106" s="334"/>
      <c r="R106" s="334" t="s">
        <v>269</v>
      </c>
      <c r="S106" s="1862"/>
      <c r="T106" s="1862"/>
      <c r="U106" s="1862"/>
      <c r="V106" s="1862"/>
      <c r="W106" s="335"/>
      <c r="X106" s="1869"/>
      <c r="Y106" s="1275"/>
      <c r="Z106" s="1275"/>
      <c r="AA106" s="1275"/>
      <c r="AB106" s="1275"/>
      <c r="AC106" s="1275"/>
      <c r="AD106" s="1275"/>
      <c r="AE106" s="1275"/>
      <c r="AF106" s="1275"/>
      <c r="AG106" s="1275"/>
      <c r="AH106" s="1275"/>
      <c r="AI106" s="1275"/>
      <c r="AJ106" s="1275"/>
      <c r="AK106" s="1275"/>
      <c r="AL106" s="1869"/>
      <c r="AM106" s="1869"/>
      <c r="AN106" s="1869"/>
      <c r="AO106" s="1869"/>
      <c r="AP106" s="1869"/>
      <c r="AQ106" s="1869"/>
      <c r="AR106" s="1869"/>
    </row>
    <row customHeight="1" ht="17.25">
      <c r="A107" s="1856"/>
      <c r="B107" s="1869"/>
      <c r="C107" s="1858"/>
      <c r="D107" s="1846"/>
      <c r="E107" s="1863"/>
      <c r="F107" s="1800"/>
      <c r="G107" s="1864"/>
      <c r="H107" s="1846"/>
      <c r="I107" s="1846"/>
      <c r="J107" s="1865"/>
      <c r="K107" s="1776"/>
      <c r="L107" s="2124" t="s">
        <v>108</v>
      </c>
      <c r="M107" s="2124" t="s">
        <v>107</v>
      </c>
      <c r="N107" s="2520" t="str">
        <f>IF(Z107="","",INDEX(TERRITORY_MR_LIST,MATCH(Z107,TERRITORY_LIST_ID,0)))</f>
        <v>Территория 3</v>
      </c>
      <c r="O107" s="2201" t="s">
        <v>64</v>
      </c>
      <c r="P107" s="2124"/>
      <c r="Q107" s="2124" t="s">
        <v>141</v>
      </c>
      <c r="R107" s="2518" t="s">
        <v>336</v>
      </c>
      <c r="S107" s="2123" t="s">
        <v>19</v>
      </c>
      <c r="T107" s="1827"/>
      <c r="U107" s="1827" t="s">
        <v>141</v>
      </c>
      <c r="V107" s="2867" t="s">
        <v>28</v>
      </c>
      <c r="W107" s="1817"/>
      <c r="X107" s="1869"/>
      <c r="Y107" s="1283"/>
      <c r="Z107" s="1283" t="s">
        <v>113</v>
      </c>
      <c r="AA107" s="1283"/>
      <c r="AB107" s="1283"/>
      <c r="AC107" s="1990" t="s">
        <v>263</v>
      </c>
      <c r="AD107" s="1990" t="s">
        <v>332</v>
      </c>
      <c r="AE107" s="1283" t="s">
        <v>337</v>
      </c>
      <c r="AF107" s="1283" t="s">
        <v>338</v>
      </c>
      <c r="AG107" s="1283" t="s">
        <v>339</v>
      </c>
      <c r="AH107" s="1283" t="str">
        <f>IF($E$53=0,"",$E$53)</f>
        <v>Плата за подключение (технологическое присоединение) к системе теплоснабжения</v>
      </c>
      <c r="AI107" s="1283" t="str">
        <f>IF($G$53=0,"",$G$53)</f>
        <v>Подключение (технологическое присоединение) к системе теплоснабжения</v>
      </c>
      <c r="AJ107"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07" s="1283" t="str">
        <f>IF($K$107="нет","без дифференциации",IF($N$107=0,"",$N$107))</f>
        <v>Территория 3</v>
      </c>
      <c r="AL107" s="1860" t="str">
        <f>IF($O$107="нет","без дифференциации",IF($R$107=0,"",$R$107))</f>
        <v>п. Рудный Кавалеровский муниципальный округ</v>
      </c>
      <c r="AM107" s="1860" t="str">
        <f>IF($S$107="нет","без дифференциации",IF($V$107=0,"",$V$107))</f>
        <v>без дифференциации</v>
      </c>
      <c r="AN107" s="1283" t="str">
        <f>$I$104</f>
        <v>2</v>
      </c>
      <c r="AO107" s="1283" t="str">
        <f>$I$104&amp;"."&amp;$M$107</f>
        <v>2.2</v>
      </c>
      <c r="AP107" s="1283" t="str">
        <f>$I$104&amp;"."&amp;$M$107&amp;"."&amp;$Q$107</f>
        <v>2.2.1</v>
      </c>
      <c r="AQ107" s="1283" t="str">
        <f>$I$104&amp;"."&amp;$M$107&amp;"."&amp;$Q$107&amp;"."&amp;$U$107</f>
        <v>2.2.1.1</v>
      </c>
      <c r="AR107" s="1869"/>
    </row>
    <row customHeight="1" ht="17.25">
      <c r="A108" s="1856"/>
      <c r="B108" s="1869"/>
      <c r="C108" s="1861"/>
      <c r="D108" s="1846"/>
      <c r="E108" s="1863"/>
      <c r="F108" s="1800"/>
      <c r="G108" s="1864"/>
      <c r="H108" s="1846"/>
      <c r="I108" s="1846"/>
      <c r="J108" s="1865"/>
      <c r="K108" s="1776"/>
      <c r="L108" s="2124"/>
      <c r="M108" s="2124"/>
      <c r="N108" s="2520"/>
      <c r="O108" s="2202"/>
      <c r="P108" s="2124"/>
      <c r="Q108" s="2124"/>
      <c r="R108" s="2518"/>
      <c r="S108" s="2123"/>
      <c r="T108" s="333"/>
      <c r="U108" s="334"/>
      <c r="V108" s="334" t="s">
        <v>268</v>
      </c>
      <c r="W108" s="335"/>
      <c r="X108" s="1869"/>
      <c r="Y108" s="1275"/>
      <c r="Z108" s="1275"/>
      <c r="AA108" s="1275"/>
      <c r="AB108" s="1275"/>
      <c r="AC108" s="1275"/>
      <c r="AD108" s="1275"/>
      <c r="AE108" s="1275"/>
      <c r="AF108" s="1275"/>
      <c r="AG108" s="1275"/>
      <c r="AH108" s="1275"/>
      <c r="AI108" s="1275"/>
      <c r="AJ108" s="1275"/>
      <c r="AK108" s="1275"/>
      <c r="AL108" s="1869"/>
      <c r="AM108" s="1869"/>
      <c r="AN108" s="1869"/>
      <c r="AO108" s="1869"/>
      <c r="AP108" s="1869"/>
      <c r="AQ108" s="1869"/>
      <c r="AR108" s="1869"/>
    </row>
    <row customHeight="1" ht="17.25">
      <c r="A109" s="1856"/>
      <c r="B109" s="1869"/>
      <c r="C109" s="1861"/>
      <c r="D109" s="1846"/>
      <c r="E109" s="1863"/>
      <c r="F109" s="1800"/>
      <c r="G109" s="1864"/>
      <c r="H109" s="1846"/>
      <c r="I109" s="1846"/>
      <c r="J109" s="1865"/>
      <c r="K109" s="1776"/>
      <c r="L109" s="2519"/>
      <c r="M109" s="2519"/>
      <c r="N109" s="2521"/>
      <c r="O109" s="2128"/>
      <c r="P109" s="333"/>
      <c r="Q109" s="334"/>
      <c r="R109" s="334" t="s">
        <v>269</v>
      </c>
      <c r="S109" s="1862"/>
      <c r="T109" s="1862"/>
      <c r="U109" s="1862"/>
      <c r="V109" s="1862"/>
      <c r="W109" s="335"/>
      <c r="X109" s="1869"/>
      <c r="Y109" s="1275"/>
      <c r="Z109" s="1275"/>
      <c r="AA109" s="1275"/>
      <c r="AB109" s="1275"/>
      <c r="AC109" s="1275"/>
      <c r="AD109" s="1275"/>
      <c r="AE109" s="1275"/>
      <c r="AF109" s="1275"/>
      <c r="AG109" s="1275"/>
      <c r="AH109" s="1275"/>
      <c r="AI109" s="1275"/>
      <c r="AJ109" s="1275"/>
      <c r="AK109" s="1275"/>
      <c r="AL109" s="1869"/>
      <c r="AM109" s="1869"/>
      <c r="AN109" s="1869"/>
      <c r="AO109" s="1869"/>
      <c r="AP109" s="1869"/>
      <c r="AQ109" s="1869"/>
      <c r="AR109" s="1869"/>
    </row>
    <row customHeight="1" ht="17.25">
      <c r="A110" s="1856"/>
      <c r="B110" s="1869"/>
      <c r="C110" s="1858"/>
      <c r="D110" s="1846"/>
      <c r="E110" s="1863"/>
      <c r="F110" s="1800"/>
      <c r="G110" s="1864"/>
      <c r="H110" s="1846"/>
      <c r="I110" s="1846"/>
      <c r="J110" s="1865"/>
      <c r="K110" s="1776"/>
      <c r="L110" s="2124" t="s">
        <v>108</v>
      </c>
      <c r="M110" s="2124" t="s">
        <v>93</v>
      </c>
      <c r="N110" s="2520" t="str">
        <f>IF(Z110="","",INDEX(TERRITORY_MR_LIST,MATCH(Z110,TERRITORY_LIST_ID,0)))</f>
        <v>Территория 4</v>
      </c>
      <c r="O110" s="2201" t="s">
        <v>64</v>
      </c>
      <c r="P110" s="2124"/>
      <c r="Q110" s="2124" t="s">
        <v>141</v>
      </c>
      <c r="R110" s="2518" t="s">
        <v>280</v>
      </c>
      <c r="S110" s="2123" t="s">
        <v>19</v>
      </c>
      <c r="T110" s="1827"/>
      <c r="U110" s="1827" t="s">
        <v>141</v>
      </c>
      <c r="V110" s="3016" t="s">
        <v>28</v>
      </c>
      <c r="W110" s="1817"/>
      <c r="X110" s="1869"/>
      <c r="Y110" s="1283"/>
      <c r="Z110" s="1283" t="s">
        <v>117</v>
      </c>
      <c r="AA110" s="1283"/>
      <c r="AB110" s="1283"/>
      <c r="AC110" s="1990" t="s">
        <v>263</v>
      </c>
      <c r="AD110" s="1990" t="s">
        <v>332</v>
      </c>
      <c r="AE110" s="1283" t="s">
        <v>340</v>
      </c>
      <c r="AF110" s="1283" t="s">
        <v>341</v>
      </c>
      <c r="AG110" s="1283" t="s">
        <v>342</v>
      </c>
      <c r="AH110" s="1283" t="str">
        <f>IF($E$53=0,"",$E$53)</f>
        <v>Плата за подключение (технологическое присоединение) к системе теплоснабжения</v>
      </c>
      <c r="AI110" s="1283" t="str">
        <f>IF($G$53=0,"",$G$53)</f>
        <v>Подключение (технологическое присоединение) к системе теплоснабжения</v>
      </c>
      <c r="AJ110"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0" s="1283" t="str">
        <f>IF($K$110="нет","без дифференциации",IF($N$110=0,"",$N$110))</f>
        <v>Территория 4</v>
      </c>
      <c r="AL110" s="1860" t="str">
        <f>IF($O$110="нет","без дифференциации",IF($R$110=0,"",$R$110))</f>
        <v>Рощинское сельское поселение с. Рощино</v>
      </c>
      <c r="AM110" s="1860" t="str">
        <f>IF($S$110="нет","без дифференциации",IF($V$110=0,"",$V$110))</f>
        <v>без дифференциации</v>
      </c>
      <c r="AN110" s="1283" t="str">
        <f>$I$104</f>
        <v>2</v>
      </c>
      <c r="AO110" s="1283" t="str">
        <f>$I$104&amp;"."&amp;$M$110</f>
        <v>2.3</v>
      </c>
      <c r="AP110" s="1283" t="str">
        <f>$I$104&amp;"."&amp;$M$110&amp;"."&amp;$Q$110</f>
        <v>2.3.1</v>
      </c>
      <c r="AQ110" s="1283" t="str">
        <f>$I$104&amp;"."&amp;$M$110&amp;"."&amp;$Q$110&amp;"."&amp;$U$110</f>
        <v>2.3.1.1</v>
      </c>
      <c r="AR110" s="1869"/>
    </row>
    <row customHeight="1" ht="17.25">
      <c r="A111" s="1856"/>
      <c r="B111" s="1869"/>
      <c r="C111" s="1861"/>
      <c r="D111" s="1846"/>
      <c r="E111" s="1863"/>
      <c r="F111" s="1800"/>
      <c r="G111" s="1864"/>
      <c r="H111" s="1846"/>
      <c r="I111" s="1846"/>
      <c r="J111" s="1865"/>
      <c r="K111" s="1776"/>
      <c r="L111" s="2124"/>
      <c r="M111" s="2124"/>
      <c r="N111" s="2520"/>
      <c r="O111" s="2202"/>
      <c r="P111" s="2124"/>
      <c r="Q111" s="2124"/>
      <c r="R111" s="2518"/>
      <c r="S111" s="2123"/>
      <c r="T111" s="333"/>
      <c r="U111" s="334"/>
      <c r="V111" s="334" t="s">
        <v>268</v>
      </c>
      <c r="W111" s="335"/>
      <c r="X111" s="1869"/>
      <c r="Y111" s="1275"/>
      <c r="Z111" s="1275"/>
      <c r="AA111" s="1275"/>
      <c r="AB111" s="1275"/>
      <c r="AC111" s="1275"/>
      <c r="AD111" s="1275"/>
      <c r="AE111" s="1275"/>
      <c r="AF111" s="1275"/>
      <c r="AG111" s="1275"/>
      <c r="AH111" s="1275"/>
      <c r="AI111" s="1275"/>
      <c r="AJ111" s="1275"/>
      <c r="AK111" s="1275"/>
      <c r="AL111" s="1869"/>
      <c r="AM111" s="1869"/>
      <c r="AN111" s="1869"/>
      <c r="AO111" s="1869"/>
      <c r="AP111" s="1869"/>
      <c r="AQ111" s="1869"/>
      <c r="AR111" s="1869"/>
    </row>
    <row customHeight="1" ht="17.25">
      <c r="A112" s="1856"/>
      <c r="B112" s="1869"/>
      <c r="C112" s="1861"/>
      <c r="D112" s="1846"/>
      <c r="E112" s="1863"/>
      <c r="F112" s="1800"/>
      <c r="G112" s="1864"/>
      <c r="H112" s="1846"/>
      <c r="I112" s="1846"/>
      <c r="J112" s="1865"/>
      <c r="K112" s="1776"/>
      <c r="L112" s="2519"/>
      <c r="M112" s="2519"/>
      <c r="N112" s="2521"/>
      <c r="O112" s="2128"/>
      <c r="P112" s="333"/>
      <c r="Q112" s="334"/>
      <c r="R112" s="334" t="s">
        <v>269</v>
      </c>
      <c r="S112" s="1862"/>
      <c r="T112" s="1862"/>
      <c r="U112" s="1862"/>
      <c r="V112" s="1862"/>
      <c r="W112" s="335"/>
      <c r="X112" s="1869"/>
      <c r="Y112" s="1275"/>
      <c r="Z112" s="1275"/>
      <c r="AA112" s="1275"/>
      <c r="AB112" s="1275"/>
      <c r="AC112" s="1275"/>
      <c r="AD112" s="1275"/>
      <c r="AE112" s="1275"/>
      <c r="AF112" s="1275"/>
      <c r="AG112" s="1275"/>
      <c r="AH112" s="1275"/>
      <c r="AI112" s="1275"/>
      <c r="AJ112" s="1275"/>
      <c r="AK112" s="1275"/>
      <c r="AL112" s="1869"/>
      <c r="AM112" s="1869"/>
      <c r="AN112" s="1869"/>
      <c r="AO112" s="1869"/>
      <c r="AP112" s="1869"/>
      <c r="AQ112" s="1869"/>
      <c r="AR112" s="1869"/>
    </row>
    <row customHeight="1" ht="17.25">
      <c r="A113" s="1856"/>
      <c r="B113" s="1869"/>
      <c r="C113" s="1858"/>
      <c r="D113" s="1846"/>
      <c r="E113" s="1863"/>
      <c r="F113" s="1800"/>
      <c r="G113" s="1864"/>
      <c r="H113" s="1846"/>
      <c r="I113" s="1846"/>
      <c r="J113" s="1865"/>
      <c r="K113" s="1776"/>
      <c r="L113" s="2124" t="s">
        <v>108</v>
      </c>
      <c r="M113" s="2124" t="s">
        <v>94</v>
      </c>
      <c r="N113" s="2520" t="str">
        <f>IF(Z113="","",INDEX(TERRITORY_MR_LIST,MATCH(Z113,TERRITORY_LIST_ID,0)))</f>
        <v>Территория 7</v>
      </c>
      <c r="O113" s="2201" t="s">
        <v>64</v>
      </c>
      <c r="P113" s="2124"/>
      <c r="Q113" s="2124" t="s">
        <v>141</v>
      </c>
      <c r="R113" s="2518" t="s">
        <v>291</v>
      </c>
      <c r="S113" s="2123" t="s">
        <v>19</v>
      </c>
      <c r="T113" s="1827"/>
      <c r="U113" s="1827" t="s">
        <v>141</v>
      </c>
      <c r="V113" s="3390" t="s">
        <v>28</v>
      </c>
      <c r="W113" s="1817"/>
      <c r="X113" s="1869"/>
      <c r="Y113" s="1283"/>
      <c r="Z113" s="1283" t="s">
        <v>131</v>
      </c>
      <c r="AA113" s="1283"/>
      <c r="AB113" s="1283"/>
      <c r="AC113" s="1990" t="s">
        <v>263</v>
      </c>
      <c r="AD113" s="1990" t="s">
        <v>332</v>
      </c>
      <c r="AE113" s="1283" t="s">
        <v>343</v>
      </c>
      <c r="AF113" s="1283" t="s">
        <v>344</v>
      </c>
      <c r="AG113" s="1283" t="s">
        <v>345</v>
      </c>
      <c r="AH113" s="1283" t="str">
        <f>IF($E$53=0,"",$E$53)</f>
        <v>Плата за подключение (технологическое присоединение) к системе теплоснабжения</v>
      </c>
      <c r="AI113" s="1283" t="str">
        <f>IF($G$53=0,"",$G$53)</f>
        <v>Подключение (технологическое присоединение) к системе теплоснабжения</v>
      </c>
      <c r="AJ113"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3" s="1283" t="str">
        <f>IF($K$113="нет","без дифференциации",IF($N$113=0,"",$N$113))</f>
        <v>Территория 7</v>
      </c>
      <c r="AL113" s="1860" t="str">
        <f>IF($O$113="нет","без дифференциации",IF($R$113=0,"",$R$113))</f>
        <v>пгт Кировский, Кировский муниципальный округ</v>
      </c>
      <c r="AM113" s="1860" t="str">
        <f>IF($S$113="нет","без дифференциации",IF($V$113=0,"",$V$113))</f>
        <v>без дифференциации</v>
      </c>
      <c r="AN113" s="1283" t="str">
        <f>$I$104</f>
        <v>2</v>
      </c>
      <c r="AO113" s="1283" t="str">
        <f>$I$104&amp;"."&amp;$M$113</f>
        <v>2.4</v>
      </c>
      <c r="AP113" s="1283" t="str">
        <f>$I$104&amp;"."&amp;$M$113&amp;"."&amp;$Q$113</f>
        <v>2.4.1</v>
      </c>
      <c r="AQ113" s="1283" t="str">
        <f>$I$104&amp;"."&amp;$M$113&amp;"."&amp;$Q$113&amp;"."&amp;$U$113</f>
        <v>2.4.1.1</v>
      </c>
      <c r="AR113" s="1869"/>
    </row>
    <row customHeight="1" ht="17.25">
      <c r="A114" s="1856"/>
      <c r="B114" s="1869"/>
      <c r="C114" s="1861"/>
      <c r="D114" s="1846"/>
      <c r="E114" s="1863"/>
      <c r="F114" s="1800"/>
      <c r="G114" s="1864"/>
      <c r="H114" s="1846"/>
      <c r="I114" s="1846"/>
      <c r="J114" s="1865"/>
      <c r="K114" s="1776"/>
      <c r="L114" s="2124"/>
      <c r="M114" s="2124"/>
      <c r="N114" s="2520"/>
      <c r="O114" s="2202"/>
      <c r="P114" s="2124"/>
      <c r="Q114" s="2124"/>
      <c r="R114" s="2518"/>
      <c r="S114" s="2123"/>
      <c r="T114" s="333"/>
      <c r="U114" s="334"/>
      <c r="V114" s="334" t="s">
        <v>268</v>
      </c>
      <c r="W114" s="335"/>
      <c r="X114" s="1869"/>
      <c r="Y114" s="1275"/>
      <c r="Z114" s="1275"/>
      <c r="AA114" s="1275"/>
      <c r="AB114" s="1275"/>
      <c r="AC114" s="1275"/>
      <c r="AD114" s="1275"/>
      <c r="AE114" s="1275"/>
      <c r="AF114" s="1275"/>
      <c r="AG114" s="1275"/>
      <c r="AH114" s="1275"/>
      <c r="AI114" s="1275"/>
      <c r="AJ114" s="1275"/>
      <c r="AK114" s="1275"/>
      <c r="AL114" s="1869"/>
      <c r="AM114" s="1869"/>
      <c r="AN114" s="1869"/>
      <c r="AO114" s="1869"/>
      <c r="AP114" s="1869"/>
      <c r="AQ114" s="1869"/>
      <c r="AR114" s="1869"/>
    </row>
    <row customHeight="1" ht="17.25">
      <c r="A115" s="1856"/>
      <c r="B115" s="1869"/>
      <c r="C115" s="1861"/>
      <c r="D115" s="1846"/>
      <c r="E115" s="1863"/>
      <c r="F115" s="1800"/>
      <c r="G115" s="1864"/>
      <c r="H115" s="1846"/>
      <c r="I115" s="1846"/>
      <c r="J115" s="1865"/>
      <c r="K115" s="1776"/>
      <c r="L115" s="2519"/>
      <c r="M115" s="2519"/>
      <c r="N115" s="2521"/>
      <c r="O115" s="2128"/>
      <c r="P115" s="333"/>
      <c r="Q115" s="334"/>
      <c r="R115" s="334" t="s">
        <v>269</v>
      </c>
      <c r="S115" s="1862"/>
      <c r="T115" s="1862"/>
      <c r="U115" s="1862"/>
      <c r="V115" s="1862"/>
      <c r="W115" s="335"/>
      <c r="X115" s="1869"/>
      <c r="Y115" s="1275"/>
      <c r="Z115" s="1275"/>
      <c r="AA115" s="1275"/>
      <c r="AB115" s="1275"/>
      <c r="AC115" s="1275"/>
      <c r="AD115" s="1275"/>
      <c r="AE115" s="1275"/>
      <c r="AF115" s="1275"/>
      <c r="AG115" s="1275"/>
      <c r="AH115" s="1275"/>
      <c r="AI115" s="1275"/>
      <c r="AJ115" s="1275"/>
      <c r="AK115" s="1275"/>
      <c r="AL115" s="1869"/>
      <c r="AM115" s="1869"/>
      <c r="AN115" s="1869"/>
      <c r="AO115" s="1869"/>
      <c r="AP115" s="1869"/>
      <c r="AQ115" s="1869"/>
      <c r="AR115" s="1869"/>
    </row>
    <row customHeight="1" ht="17.25">
      <c r="A116" s="1856"/>
      <c r="B116" s="1869"/>
      <c r="C116" s="1858"/>
      <c r="D116" s="1846"/>
      <c r="E116" s="1863"/>
      <c r="F116" s="1800"/>
      <c r="G116" s="1864"/>
      <c r="H116" s="1846"/>
      <c r="I116" s="1846"/>
      <c r="J116" s="1865"/>
      <c r="K116" s="1776"/>
      <c r="L116" s="2124" t="s">
        <v>108</v>
      </c>
      <c r="M116" s="2124" t="s">
        <v>122</v>
      </c>
      <c r="N116" s="2520" t="str">
        <f>IF(Z116="","",INDEX(TERRITORY_MR_LIST,MATCH(Z116,TERRITORY_LIST_ID,0)))</f>
        <v>Территория 13</v>
      </c>
      <c r="O116" s="2201" t="s">
        <v>64</v>
      </c>
      <c r="P116" s="2124"/>
      <c r="Q116" s="2124" t="s">
        <v>141</v>
      </c>
      <c r="R116" s="2518" t="s">
        <v>160</v>
      </c>
      <c r="S116" s="2123" t="s">
        <v>19</v>
      </c>
      <c r="T116" s="1827"/>
      <c r="U116" s="1827" t="s">
        <v>141</v>
      </c>
      <c r="V116" s="3913" t="s">
        <v>28</v>
      </c>
      <c r="W116" s="1817"/>
      <c r="X116" s="1869"/>
      <c r="Y116" s="1283"/>
      <c r="Z116" s="1283" t="s">
        <v>159</v>
      </c>
      <c r="AA116" s="1283"/>
      <c r="AB116" s="1283"/>
      <c r="AC116" s="1990" t="s">
        <v>263</v>
      </c>
      <c r="AD116" s="1990" t="s">
        <v>332</v>
      </c>
      <c r="AE116" s="1283" t="s">
        <v>346</v>
      </c>
      <c r="AF116" s="1283" t="s">
        <v>347</v>
      </c>
      <c r="AG116" s="1283" t="s">
        <v>348</v>
      </c>
      <c r="AH116" s="1283" t="str">
        <f>IF($E$53=0,"",$E$53)</f>
        <v>Плата за подключение (технологическое присоединение) к системе теплоснабжения</v>
      </c>
      <c r="AI116" s="1283" t="str">
        <f>IF($G$53=0,"",$G$53)</f>
        <v>Подключение (технологическое присоединение) к системе теплоснабжения</v>
      </c>
      <c r="AJ116"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6" s="1283" t="str">
        <f>IF($K$116="нет","без дифференциации",IF($N$116=0,"",$N$116))</f>
        <v>Территория 13</v>
      </c>
      <c r="AL116" s="1860" t="str">
        <f>IF($O$116="нет","без дифференциации",IF($R$116=0,"",$R$116))</f>
        <v>Арсеньевский городской округ</v>
      </c>
      <c r="AM116" s="1860" t="str">
        <f>IF($S$116="нет","без дифференциации",IF($V$116=0,"",$V$116))</f>
        <v>без дифференциации</v>
      </c>
      <c r="AN116" s="1283" t="str">
        <f>$I$104</f>
        <v>2</v>
      </c>
      <c r="AO116" s="1283" t="str">
        <f>$I$104&amp;"."&amp;$M$116</f>
        <v>2.5</v>
      </c>
      <c r="AP116" s="1283" t="str">
        <f>$I$104&amp;"."&amp;$M$116&amp;"."&amp;$Q$116</f>
        <v>2.5.1</v>
      </c>
      <c r="AQ116" s="1283" t="str">
        <f>$I$104&amp;"."&amp;$M$116&amp;"."&amp;$Q$116&amp;"."&amp;$U$116</f>
        <v>2.5.1.1</v>
      </c>
      <c r="AR116" s="1869"/>
    </row>
    <row customHeight="1" ht="17.25">
      <c r="A117" s="1856"/>
      <c r="B117" s="1869"/>
      <c r="C117" s="1861"/>
      <c r="D117" s="1846"/>
      <c r="E117" s="1863"/>
      <c r="F117" s="1800"/>
      <c r="G117" s="1864"/>
      <c r="H117" s="1846"/>
      <c r="I117" s="1846"/>
      <c r="J117" s="1865"/>
      <c r="K117" s="1776"/>
      <c r="L117" s="2124"/>
      <c r="M117" s="2124"/>
      <c r="N117" s="2520"/>
      <c r="O117" s="2202"/>
      <c r="P117" s="2124"/>
      <c r="Q117" s="2124"/>
      <c r="R117" s="2518"/>
      <c r="S117" s="2123"/>
      <c r="T117" s="333"/>
      <c r="U117" s="334"/>
      <c r="V117" s="334" t="s">
        <v>268</v>
      </c>
      <c r="W117" s="335"/>
      <c r="X117" s="1869"/>
      <c r="Y117" s="1275"/>
      <c r="Z117" s="1275"/>
      <c r="AA117" s="1275"/>
      <c r="AB117" s="1275"/>
      <c r="AC117" s="1275"/>
      <c r="AD117" s="1275"/>
      <c r="AE117" s="1275"/>
      <c r="AF117" s="1275"/>
      <c r="AG117" s="1275"/>
      <c r="AH117" s="1275"/>
      <c r="AI117" s="1275"/>
      <c r="AJ117" s="1275"/>
      <c r="AK117" s="1275"/>
      <c r="AL117" s="1869"/>
      <c r="AM117" s="1869"/>
      <c r="AN117" s="1869"/>
      <c r="AO117" s="1869"/>
      <c r="AP117" s="1869"/>
      <c r="AQ117" s="1869"/>
      <c r="AR117" s="1869"/>
    </row>
    <row customHeight="1" ht="17.25">
      <c r="A118" s="1856"/>
      <c r="B118" s="1869"/>
      <c r="C118" s="1861"/>
      <c r="D118" s="1846"/>
      <c r="E118" s="1863"/>
      <c r="F118" s="1800"/>
      <c r="G118" s="1864"/>
      <c r="H118" s="1846"/>
      <c r="I118" s="1846"/>
      <c r="J118" s="1865"/>
      <c r="K118" s="1776"/>
      <c r="L118" s="2519"/>
      <c r="M118" s="2519"/>
      <c r="N118" s="2521"/>
      <c r="O118" s="2128"/>
      <c r="P118" s="333"/>
      <c r="Q118" s="334"/>
      <c r="R118" s="334" t="s">
        <v>269</v>
      </c>
      <c r="S118" s="1862"/>
      <c r="T118" s="1862"/>
      <c r="U118" s="1862"/>
      <c r="V118" s="1862"/>
      <c r="W118" s="335"/>
      <c r="X118" s="1869"/>
      <c r="Y118" s="1275"/>
      <c r="Z118" s="1275"/>
      <c r="AA118" s="1275"/>
      <c r="AB118" s="1275"/>
      <c r="AC118" s="1275"/>
      <c r="AD118" s="1275"/>
      <c r="AE118" s="1275"/>
      <c r="AF118" s="1275"/>
      <c r="AG118" s="1275"/>
      <c r="AH118" s="1275"/>
      <c r="AI118" s="1275"/>
      <c r="AJ118" s="1275"/>
      <c r="AK118" s="1275"/>
      <c r="AL118" s="1869"/>
      <c r="AM118" s="1869"/>
      <c r="AN118" s="1869"/>
      <c r="AO118" s="1869"/>
      <c r="AP118" s="1869"/>
      <c r="AQ118" s="1869"/>
      <c r="AR118" s="1869"/>
    </row>
    <row customHeight="1" ht="17.25">
      <c r="A119" s="1856"/>
      <c r="B119" s="1869"/>
      <c r="C119" s="1858"/>
      <c r="D119" s="1846"/>
      <c r="E119" s="1863"/>
      <c r="F119" s="1800"/>
      <c r="G119" s="1864"/>
      <c r="H119" s="1846"/>
      <c r="I119" s="1846"/>
      <c r="J119" s="1865"/>
      <c r="K119" s="1776"/>
      <c r="L119" s="2124" t="s">
        <v>108</v>
      </c>
      <c r="M119" s="2124" t="s">
        <v>95</v>
      </c>
      <c r="N119" s="2520" t="str">
        <f>IF(Z119="","",INDEX(TERRITORY_MR_LIST,MATCH(Z119,TERRITORY_LIST_ID,0)))</f>
        <v>Территория 16</v>
      </c>
      <c r="O119" s="2201" t="s">
        <v>64</v>
      </c>
      <c r="P119" s="2124"/>
      <c r="Q119" s="2124" t="s">
        <v>141</v>
      </c>
      <c r="R119" s="2518" t="s">
        <v>349</v>
      </c>
      <c r="S119" s="2123" t="s">
        <v>19</v>
      </c>
      <c r="T119" s="1827"/>
      <c r="U119" s="1827" t="s">
        <v>141</v>
      </c>
      <c r="V119" s="3913" t="s">
        <v>28</v>
      </c>
      <c r="W119" s="1817"/>
      <c r="X119" s="1869"/>
      <c r="Y119" s="1283"/>
      <c r="Z119" s="1283" t="s">
        <v>172</v>
      </c>
      <c r="AA119" s="1283"/>
      <c r="AB119" s="1283"/>
      <c r="AC119" s="1990" t="s">
        <v>263</v>
      </c>
      <c r="AD119" s="1990" t="s">
        <v>332</v>
      </c>
      <c r="AE119" s="1283" t="s">
        <v>350</v>
      </c>
      <c r="AF119" s="1283" t="s">
        <v>351</v>
      </c>
      <c r="AG119" s="1283" t="s">
        <v>352</v>
      </c>
      <c r="AH119" s="1283" t="str">
        <f>IF($E$53=0,"",$E$53)</f>
        <v>Плата за подключение (технологическое присоединение) к системе теплоснабжения</v>
      </c>
      <c r="AI119" s="1283" t="str">
        <f>IF($G$53=0,"",$G$53)</f>
        <v>Подключение (технологическое присоединение) к системе теплоснабжения</v>
      </c>
      <c r="AJ119"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19" s="1283" t="str">
        <f>IF($K$119="нет","без дифференциации",IF($N$119=0,"",$N$119))</f>
        <v>Территория 16</v>
      </c>
      <c r="AL119" s="1860" t="str">
        <f>IF($O$119="нет","без дифференциации",IF($R$119=0,"",$R$119))</f>
        <v>с. Новопокровка, Красноармейский Муниципальный округ</v>
      </c>
      <c r="AM119" s="1860" t="str">
        <f>IF($S$119="нет","без дифференциации",IF($V$119=0,"",$V$119))</f>
        <v>без дифференциации</v>
      </c>
      <c r="AN119" s="1283" t="str">
        <f>$I$104</f>
        <v>2</v>
      </c>
      <c r="AO119" s="1283" t="str">
        <f>$I$104&amp;"."&amp;$M$119</f>
        <v>2.6</v>
      </c>
      <c r="AP119" s="1283" t="str">
        <f>$I$104&amp;"."&amp;$M$119&amp;"."&amp;$Q$119</f>
        <v>2.6.1</v>
      </c>
      <c r="AQ119" s="1283" t="str">
        <f>$I$104&amp;"."&amp;$M$119&amp;"."&amp;$Q$119&amp;"."&amp;$U$119</f>
        <v>2.6.1.1</v>
      </c>
      <c r="AR119" s="1869"/>
    </row>
    <row customHeight="1" ht="17.25">
      <c r="A120" s="1856"/>
      <c r="B120" s="1869"/>
      <c r="C120" s="1861"/>
      <c r="D120" s="1846"/>
      <c r="E120" s="1863"/>
      <c r="F120" s="1800"/>
      <c r="G120" s="1864"/>
      <c r="H120" s="1846"/>
      <c r="I120" s="1846"/>
      <c r="J120" s="1865"/>
      <c r="K120" s="1776"/>
      <c r="L120" s="2124"/>
      <c r="M120" s="2124"/>
      <c r="N120" s="2520"/>
      <c r="O120" s="2202"/>
      <c r="P120" s="2124"/>
      <c r="Q120" s="2124"/>
      <c r="R120" s="2518"/>
      <c r="S120" s="2123"/>
      <c r="T120" s="333"/>
      <c r="U120" s="334"/>
      <c r="V120" s="334" t="s">
        <v>268</v>
      </c>
      <c r="W120" s="335"/>
      <c r="X120" s="1869"/>
      <c r="Y120" s="1275"/>
      <c r="Z120" s="1275"/>
      <c r="AA120" s="1275"/>
      <c r="AB120" s="1275"/>
      <c r="AC120" s="1275"/>
      <c r="AD120" s="1275"/>
      <c r="AE120" s="1275"/>
      <c r="AF120" s="1275"/>
      <c r="AG120" s="1275"/>
      <c r="AH120" s="1275"/>
      <c r="AI120" s="1275"/>
      <c r="AJ120" s="1275"/>
      <c r="AK120" s="1275"/>
      <c r="AL120" s="1869"/>
      <c r="AM120" s="1869"/>
      <c r="AN120" s="1869"/>
      <c r="AO120" s="1869"/>
      <c r="AP120" s="1869"/>
      <c r="AQ120" s="1869"/>
      <c r="AR120" s="1869"/>
    </row>
    <row customHeight="1" ht="17.25">
      <c r="A121" s="1856"/>
      <c r="B121" s="1869"/>
      <c r="C121" s="1861"/>
      <c r="D121" s="1846"/>
      <c r="E121" s="1863"/>
      <c r="F121" s="1800"/>
      <c r="G121" s="1864"/>
      <c r="H121" s="1846"/>
      <c r="I121" s="1846"/>
      <c r="J121" s="1865"/>
      <c r="K121" s="1776"/>
      <c r="L121" s="2519"/>
      <c r="M121" s="2519"/>
      <c r="N121" s="2521"/>
      <c r="O121" s="2128"/>
      <c r="P121" s="333"/>
      <c r="Q121" s="334"/>
      <c r="R121" s="334" t="s">
        <v>269</v>
      </c>
      <c r="S121" s="1862"/>
      <c r="T121" s="1862"/>
      <c r="U121" s="1862"/>
      <c r="V121" s="1862"/>
      <c r="W121" s="335"/>
      <c r="X121" s="1869"/>
      <c r="Y121" s="1275"/>
      <c r="Z121" s="1275"/>
      <c r="AA121" s="1275"/>
      <c r="AB121" s="1275"/>
      <c r="AC121" s="1275"/>
      <c r="AD121" s="1275"/>
      <c r="AE121" s="1275"/>
      <c r="AF121" s="1275"/>
      <c r="AG121" s="1275"/>
      <c r="AH121" s="1275"/>
      <c r="AI121" s="1275"/>
      <c r="AJ121" s="1275"/>
      <c r="AK121" s="1275"/>
      <c r="AL121" s="1869"/>
      <c r="AM121" s="1869"/>
      <c r="AN121" s="1869"/>
      <c r="AO121" s="1869"/>
      <c r="AP121" s="1869"/>
      <c r="AQ121" s="1869"/>
      <c r="AR121" s="1869"/>
    </row>
    <row customHeight="1" ht="17.25">
      <c r="A122" s="1856"/>
      <c r="B122" s="1869"/>
      <c r="C122" s="1858"/>
      <c r="D122" s="1846"/>
      <c r="E122" s="1863"/>
      <c r="F122" s="1800"/>
      <c r="G122" s="1864"/>
      <c r="H122" s="1846"/>
      <c r="I122" s="1846"/>
      <c r="J122" s="1865"/>
      <c r="K122" s="1776"/>
      <c r="L122" s="2124" t="s">
        <v>108</v>
      </c>
      <c r="M122" s="2124" t="s">
        <v>96</v>
      </c>
      <c r="N122" s="2520" t="str">
        <f>IF(Z122="","",INDEX(TERRITORY_MR_LIST,MATCH(Z122,TERRITORY_LIST_ID,0)))</f>
        <v>Территория 11</v>
      </c>
      <c r="O122" s="2201" t="s">
        <v>64</v>
      </c>
      <c r="P122" s="2124"/>
      <c r="Q122" s="2124" t="s">
        <v>141</v>
      </c>
      <c r="R122" s="2518" t="s">
        <v>307</v>
      </c>
      <c r="S122" s="2123" t="s">
        <v>19</v>
      </c>
      <c r="T122" s="1827"/>
      <c r="U122" s="1827" t="s">
        <v>141</v>
      </c>
      <c r="V122" s="4353" t="s">
        <v>28</v>
      </c>
      <c r="W122" s="1817"/>
      <c r="X122" s="1869"/>
      <c r="Y122" s="1283"/>
      <c r="Z122" s="1283" t="s">
        <v>151</v>
      </c>
      <c r="AA122" s="1283"/>
      <c r="AB122" s="1283"/>
      <c r="AC122" s="1990" t="s">
        <v>263</v>
      </c>
      <c r="AD122" s="1990" t="s">
        <v>332</v>
      </c>
      <c r="AE122" s="1283" t="s">
        <v>353</v>
      </c>
      <c r="AF122" s="1283" t="s">
        <v>354</v>
      </c>
      <c r="AG122" s="1283" t="s">
        <v>355</v>
      </c>
      <c r="AH122" s="1283" t="str">
        <f>IF($E$53=0,"",$E$53)</f>
        <v>Плата за подключение (технологическое присоединение) к системе теплоснабжения</v>
      </c>
      <c r="AI122" s="1283" t="str">
        <f>IF($G$53=0,"",$G$53)</f>
        <v>Подключение (технологическое присоединение) к системе теплоснабжения</v>
      </c>
      <c r="AJ122" s="1283" t="str">
        <f>IF($J$104=0,"",$J$104)</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 расчете на единицу мощности подключаемой нагрузки. Подземная бесканальная прокладка до 250 мм</v>
      </c>
      <c r="AK122" s="1283" t="str">
        <f>IF($K$122="нет","без дифференциации",IF($N$122=0,"",$N$122))</f>
        <v>Территория 11</v>
      </c>
      <c r="AL122" s="1860" t="str">
        <f>IF($O$122="нет","без дифференциации",IF($R$122=0,"",$R$122))</f>
        <v>пгт. Ярославский, Хорольский муниципальный округ</v>
      </c>
      <c r="AM122" s="1860" t="str">
        <f>IF($S$122="нет","без дифференциации",IF($V$122=0,"",$V$122))</f>
        <v>без дифференциации</v>
      </c>
      <c r="AN122" s="1283" t="str">
        <f>$I$104</f>
        <v>2</v>
      </c>
      <c r="AO122" s="1283" t="str">
        <f>$I$104&amp;"."&amp;$M$122</f>
        <v>2.7</v>
      </c>
      <c r="AP122" s="1283" t="str">
        <f>$I$104&amp;"."&amp;$M$122&amp;"."&amp;$Q$122</f>
        <v>2.7.1</v>
      </c>
      <c r="AQ122" s="1283" t="str">
        <f>$I$104&amp;"."&amp;$M$122&amp;"."&amp;$Q$122&amp;"."&amp;$U$122</f>
        <v>2.7.1.1</v>
      </c>
      <c r="AR122" s="1869"/>
    </row>
    <row customHeight="1" ht="17.25">
      <c r="A123" s="1856"/>
      <c r="B123" s="1869"/>
      <c r="C123" s="1861"/>
      <c r="D123" s="1846"/>
      <c r="E123" s="1863"/>
      <c r="F123" s="1800"/>
      <c r="G123" s="1864"/>
      <c r="H123" s="1846"/>
      <c r="I123" s="1846"/>
      <c r="J123" s="1865"/>
      <c r="K123" s="1776"/>
      <c r="L123" s="2124"/>
      <c r="M123" s="2124"/>
      <c r="N123" s="2520"/>
      <c r="O123" s="2202"/>
      <c r="P123" s="2124"/>
      <c r="Q123" s="2124"/>
      <c r="R123" s="2518"/>
      <c r="S123" s="2123"/>
      <c r="T123" s="333"/>
      <c r="U123" s="334"/>
      <c r="V123" s="334" t="s">
        <v>268</v>
      </c>
      <c r="W123" s="335"/>
      <c r="X123" s="1869"/>
      <c r="Y123" s="1275"/>
      <c r="Z123" s="1275"/>
      <c r="AA123" s="1275"/>
      <c r="AB123" s="1275"/>
      <c r="AC123" s="1275"/>
      <c r="AD123" s="1275"/>
      <c r="AE123" s="1275"/>
      <c r="AF123" s="1275"/>
      <c r="AG123" s="1275"/>
      <c r="AH123" s="1275"/>
      <c r="AI123" s="1275"/>
      <c r="AJ123" s="1275"/>
      <c r="AK123" s="1275"/>
      <c r="AL123" s="1869"/>
      <c r="AM123" s="1869"/>
      <c r="AN123" s="1869"/>
      <c r="AO123" s="1869"/>
      <c r="AP123" s="1869"/>
      <c r="AQ123" s="1869"/>
      <c r="AR123" s="1869"/>
    </row>
    <row customHeight="1" ht="17.25">
      <c r="A124" s="1856"/>
      <c r="B124" s="1869"/>
      <c r="C124" s="1861"/>
      <c r="D124" s="1846"/>
      <c r="E124" s="1863"/>
      <c r="F124" s="1800"/>
      <c r="G124" s="1864"/>
      <c r="H124" s="1846"/>
      <c r="I124" s="1846"/>
      <c r="J124" s="1865"/>
      <c r="K124" s="1776"/>
      <c r="L124" s="2519"/>
      <c r="M124" s="2519"/>
      <c r="N124" s="2521"/>
      <c r="O124" s="2128"/>
      <c r="P124" s="333"/>
      <c r="Q124" s="334"/>
      <c r="R124" s="334" t="s">
        <v>269</v>
      </c>
      <c r="S124" s="1862"/>
      <c r="T124" s="1862"/>
      <c r="U124" s="1862"/>
      <c r="V124" s="1862"/>
      <c r="W124" s="335"/>
      <c r="X124" s="1869"/>
      <c r="Y124" s="1275"/>
      <c r="Z124" s="1275"/>
      <c r="AA124" s="1275"/>
      <c r="AB124" s="1275"/>
      <c r="AC124" s="1275"/>
      <c r="AD124" s="1275"/>
      <c r="AE124" s="1275"/>
      <c r="AF124" s="1275"/>
      <c r="AG124" s="1275"/>
      <c r="AH124" s="1275"/>
      <c r="AI124" s="1275"/>
      <c r="AJ124" s="1275"/>
      <c r="AK124" s="1275"/>
      <c r="AL124" s="1869"/>
      <c r="AM124" s="1869"/>
      <c r="AN124" s="1869"/>
      <c r="AO124" s="1869"/>
      <c r="AP124" s="1869"/>
      <c r="AQ124" s="1869"/>
      <c r="AR124" s="1869"/>
    </row>
    <row customHeight="1" ht="21">
      <c r="A125" s="1856"/>
      <c r="B125" s="1869"/>
      <c r="C125" s="1861"/>
      <c r="D125" s="1846"/>
      <c r="E125" s="1863"/>
      <c r="F125" s="1800"/>
      <c r="G125" s="1864"/>
      <c r="H125" s="2519"/>
      <c r="I125" s="2519"/>
      <c r="J125" s="2549"/>
      <c r="K125" s="2128"/>
      <c r="L125" s="333"/>
      <c r="M125" s="334"/>
      <c r="N125" s="334" t="s">
        <v>330</v>
      </c>
      <c r="O125" s="334"/>
      <c r="P125" s="334"/>
      <c r="Q125" s="334"/>
      <c r="R125" s="334"/>
      <c r="S125" s="1862"/>
      <c r="T125" s="1862"/>
      <c r="U125" s="1862"/>
      <c r="V125" s="1862"/>
      <c r="W125" s="335"/>
      <c r="X125" s="1869"/>
      <c r="Y125" s="1275"/>
      <c r="Z125" s="1275"/>
      <c r="AA125" s="1275"/>
      <c r="AB125" s="1275"/>
      <c r="AC125" s="1275"/>
      <c r="AD125" s="1275"/>
      <c r="AE125" s="1275"/>
      <c r="AF125" s="1275"/>
      <c r="AG125" s="1275"/>
      <c r="AH125" s="1275"/>
      <c r="AI125" s="1275"/>
      <c r="AJ125" s="1275"/>
      <c r="AK125" s="1275"/>
      <c r="AL125" s="1869"/>
      <c r="AM125" s="1869"/>
      <c r="AN125" s="1869"/>
      <c r="AO125" s="1869"/>
      <c r="AP125" s="1869"/>
      <c r="AQ125" s="1869"/>
      <c r="AR125" s="1869"/>
    </row>
    <row s="1869" customFormat="1" customHeight="1" ht="17.25">
      <c r="A126" s="337"/>
      <c r="C126" s="336"/>
      <c r="D126" s="2152"/>
      <c r="E126" s="2160"/>
      <c r="F126" s="2163"/>
      <c r="G126" s="2651"/>
      <c r="H126" s="2673"/>
      <c r="I126" s="2674"/>
      <c r="J126" s="2675" t="s">
        <v>356</v>
      </c>
      <c r="K126" s="2676"/>
      <c r="L126" s="2677"/>
      <c r="M126" s="2678"/>
      <c r="N126" s="2679"/>
      <c r="O126" s="2680"/>
      <c r="P126" s="2681"/>
      <c r="Q126" s="2682"/>
      <c r="R126" s="2683"/>
      <c r="S126" s="2684"/>
      <c r="T126" s="2685"/>
      <c r="U126" s="2686"/>
      <c r="V126" s="2687"/>
      <c r="W126" s="2688"/>
      <c r="X126" s="1275"/>
      <c r="Y126" s="1275"/>
      <c r="Z126" s="1275"/>
      <c r="AA126" s="1275"/>
      <c r="AB126" s="1275"/>
      <c r="AC126" s="1275"/>
      <c r="AD126" s="1275"/>
      <c r="AE126" s="1275"/>
      <c r="AF126" s="1275"/>
      <c r="AG126" s="1275"/>
      <c r="AH126" s="1275"/>
      <c r="AI126" s="1275"/>
      <c r="AJ126" s="1275"/>
      <c r="AK126" s="1275"/>
      <c r="AL126" s="1275"/>
      <c r="AM126" s="1275"/>
      <c r="AN126" s="1275"/>
      <c r="AO126" s="1275"/>
      <c r="AP126" s="1275"/>
      <c r="AQ126" s="1275"/>
      <c r="AR126" s="1324">
        <v>0</v>
      </c>
    </row>
    <row s="1869" customFormat="1" customHeight="1" ht="17.25">
      <c r="A127" s="337"/>
      <c r="C127" s="225"/>
      <c r="D127" s="2151">
        <v>9</v>
      </c>
      <c r="E127" s="2159" t="s">
        <v>357</v>
      </c>
      <c r="F127" s="2161" t="s">
        <v>19</v>
      </c>
      <c r="G127" s="2159"/>
      <c r="H127" s="2164"/>
      <c r="I127" s="2166"/>
      <c r="J127" s="2168"/>
      <c r="K127" s="2153"/>
      <c r="L127" s="2153"/>
      <c r="M127" s="2153"/>
      <c r="N127" s="2155"/>
      <c r="O127" s="2153"/>
      <c r="P127" s="2153"/>
      <c r="Q127" s="2153"/>
      <c r="R127" s="2158"/>
      <c r="S127" s="2153"/>
      <c r="T127" s="1947"/>
      <c r="U127" s="1947"/>
      <c r="V127" s="1949"/>
      <c r="W127" s="1312"/>
      <c r="X127" s="1283"/>
      <c r="Y127" s="1283"/>
      <c r="Z127" s="1283"/>
      <c r="AA127" s="1283"/>
      <c r="AB127" s="1283"/>
      <c r="AC127" s="1283" t="s">
        <v>358</v>
      </c>
      <c r="AD127" s="1283" t="s">
        <v>359</v>
      </c>
      <c r="AE127" s="1283" t="s">
        <v>360</v>
      </c>
      <c r="AF127" s="1283" t="s">
        <v>361</v>
      </c>
      <c r="AG127" s="1283" t="s">
        <v>362</v>
      </c>
      <c r="AH127" s="1283" t="str">
        <f>IF($E$127=0,"",$E$127)</f>
        <v>Плата за подключение (технологическое присоединение) к системе теплоснабжения (индивидуальная)</v>
      </c>
      <c r="AI127" s="1283" t="str">
        <f>IF($G$127=0,"",$G$127)</f>
        <v/>
      </c>
      <c r="AJ127" s="1283" t="str">
        <f>IF($J$127=0,"",$J$127)</f>
        <v/>
      </c>
      <c r="AK127" s="1283" t="str">
        <f>IF($K$127="нет","без дифференциации",IF($N$127=0,"",$N$127))</f>
        <v/>
      </c>
      <c r="AL127" s="1283" t="str">
        <f>IF($O$127="нет","без дифференциации",IF($R$127=0,"",$R$127))</f>
        <v/>
      </c>
      <c r="AM127" s="1283" t="str">
        <f>IF($S$127="нет","без дифференциации",IF($V$127=0,"",$V$127))</f>
        <v/>
      </c>
      <c r="AN127" s="1788">
        <f>$I$127</f>
        <v>0</v>
      </c>
      <c r="AO127" s="1283" t="str">
        <f>$I$127&amp;"."&amp;$M$127</f>
        <v>.</v>
      </c>
      <c r="AP127" s="1282" t="str">
        <f>$I$127&amp;"."&amp;$M$127&amp;"."&amp;$Q$127</f>
        <v>..</v>
      </c>
      <c r="AQ127" s="1282" t="str">
        <f>$I$127&amp;"."&amp;$M$127&amp;"."&amp;$Q$127&amp;"."&amp;$U$127</f>
        <v>...</v>
      </c>
      <c r="AR127" s="1483">
        <v>0</v>
      </c>
    </row>
    <row s="1869" customFormat="1" customHeight="1" ht="17.25">
      <c r="A128" s="337"/>
      <c r="C128" s="336"/>
      <c r="D128" s="2151"/>
      <c r="E128" s="2159"/>
      <c r="F128" s="2162"/>
      <c r="G128" s="2159"/>
      <c r="H128" s="2165"/>
      <c r="I128" s="2167"/>
      <c r="J128" s="2169"/>
      <c r="K128" s="2154"/>
      <c r="L128" s="2154"/>
      <c r="M128" s="2154"/>
      <c r="N128" s="2156"/>
      <c r="O128" s="2154"/>
      <c r="P128" s="2154"/>
      <c r="Q128" s="2154"/>
      <c r="R128" s="2157"/>
      <c r="S128" s="2154"/>
      <c r="T128" s="1950"/>
      <c r="U128" s="1950"/>
      <c r="V128" s="1950"/>
      <c r="W128" s="1951"/>
      <c r="X128" s="1282"/>
      <c r="Y128" s="1282"/>
      <c r="Z128" s="1282"/>
      <c r="AA128" s="1282"/>
      <c r="AB128" s="1282"/>
      <c r="AC128" s="1282"/>
      <c r="AD128" s="1282"/>
      <c r="AE128" s="1282"/>
      <c r="AF128" s="1282"/>
      <c r="AG128" s="1282"/>
      <c r="AH128" s="1282"/>
      <c r="AI128" s="1282"/>
      <c r="AJ128" s="1282"/>
      <c r="AK128" s="1282"/>
      <c r="AL128" s="1282"/>
      <c r="AM128" s="1282"/>
      <c r="AN128" s="1282"/>
      <c r="AO128" s="1282"/>
      <c r="AP128" s="1282"/>
      <c r="AQ128" s="1282"/>
      <c r="AR128" s="1483">
        <v>0</v>
      </c>
    </row>
    <row s="1869" customFormat="1" customHeight="1" ht="17.25">
      <c r="A129" s="337"/>
      <c r="C129" s="336"/>
      <c r="D129" s="2152"/>
      <c r="E129" s="2160"/>
      <c r="F129" s="2162"/>
      <c r="G129" s="2160"/>
      <c r="H129" s="2165"/>
      <c r="I129" s="2167"/>
      <c r="J129" s="2170"/>
      <c r="K129" s="2154"/>
      <c r="L129" s="2154"/>
      <c r="M129" s="2154"/>
      <c r="N129" s="2157"/>
      <c r="O129" s="2154"/>
      <c r="P129" s="1948"/>
      <c r="Q129" s="1950"/>
      <c r="R129" s="1950"/>
      <c r="S129" s="345"/>
      <c r="T129" s="345"/>
      <c r="U129" s="345"/>
      <c r="V129" s="345"/>
      <c r="W129" s="1951"/>
      <c r="X129" s="1282"/>
      <c r="Y129" s="1282"/>
      <c r="Z129" s="1282"/>
      <c r="AA129" s="1282"/>
      <c r="AB129" s="1282"/>
      <c r="AC129" s="1282"/>
      <c r="AD129" s="1282"/>
      <c r="AE129" s="1282"/>
      <c r="AF129" s="1282"/>
      <c r="AG129" s="1282"/>
      <c r="AH129" s="1282"/>
      <c r="AI129" s="1282"/>
      <c r="AJ129" s="1282"/>
      <c r="AK129" s="1282"/>
      <c r="AL129" s="1282"/>
      <c r="AM129" s="1282"/>
      <c r="AN129" s="1282"/>
      <c r="AO129" s="1282"/>
      <c r="AP129" s="1282"/>
      <c r="AQ129" s="1282"/>
      <c r="AR129" s="1483">
        <v>0</v>
      </c>
    </row>
    <row s="1869" customFormat="1" customHeight="1" ht="17.25">
      <c r="A130" s="337"/>
      <c r="C130" s="225"/>
      <c r="D130" s="2152"/>
      <c r="E130" s="2160"/>
      <c r="F130" s="2162"/>
      <c r="G130" s="2160"/>
      <c r="H130" s="2165"/>
      <c r="I130" s="2167"/>
      <c r="J130" s="2170"/>
      <c r="K130" s="2154"/>
      <c r="L130" s="1950"/>
      <c r="M130" s="1950"/>
      <c r="N130" s="1950"/>
      <c r="O130" s="1950"/>
      <c r="P130" s="1950"/>
      <c r="Q130" s="1950"/>
      <c r="R130" s="1950"/>
      <c r="S130" s="345"/>
      <c r="T130" s="345"/>
      <c r="U130" s="345"/>
      <c r="V130" s="345"/>
      <c r="W130" s="1951"/>
      <c r="Y130" s="1283"/>
      <c r="Z130" s="1283"/>
      <c r="AA130" s="1283"/>
      <c r="AB130" s="1283"/>
      <c r="AC130" s="1283"/>
      <c r="AD130" s="1283"/>
      <c r="AE130" s="1283"/>
      <c r="AF130" s="1283"/>
      <c r="AG130" s="1283"/>
      <c r="AH130" s="1283"/>
      <c r="AI130" s="1283"/>
      <c r="AJ130" s="1283"/>
      <c r="AK130" s="1283"/>
      <c r="AL130" s="1283"/>
      <c r="AM130" s="1283"/>
      <c r="AN130" s="1283"/>
      <c r="AO130" s="1283"/>
      <c r="AP130" s="1283"/>
      <c r="AQ130" s="1283"/>
      <c r="AR130" s="1483">
        <v>0</v>
      </c>
    </row>
    <row s="1869" customFormat="1" customHeight="1" ht="17.25">
      <c r="A131" s="337"/>
      <c r="C131" s="336"/>
      <c r="D131" s="2152"/>
      <c r="E131" s="2160"/>
      <c r="F131" s="2163"/>
      <c r="G131" s="2160"/>
      <c r="H131" s="1315"/>
      <c r="I131" s="1952"/>
      <c r="J131" s="1952"/>
      <c r="K131" s="1952"/>
      <c r="L131" s="1952"/>
      <c r="M131" s="1952"/>
      <c r="N131" s="1952"/>
      <c r="O131" s="1952"/>
      <c r="P131" s="1952"/>
      <c r="Q131" s="1952"/>
      <c r="R131" s="1952"/>
      <c r="S131" s="1317"/>
      <c r="T131" s="1317"/>
      <c r="U131" s="1317"/>
      <c r="V131" s="1317"/>
      <c r="W131" s="1953"/>
      <c r="X131" s="1282"/>
      <c r="Y131" s="1282"/>
      <c r="Z131" s="1282"/>
      <c r="AA131" s="1282"/>
      <c r="AB131" s="1282"/>
      <c r="AC131" s="1282"/>
      <c r="AD131" s="1282"/>
      <c r="AE131" s="1282"/>
      <c r="AF131" s="1282"/>
      <c r="AG131" s="1282"/>
      <c r="AH131" s="1282"/>
      <c r="AI131" s="1282"/>
      <c r="AJ131" s="1282"/>
      <c r="AK131" s="1282"/>
      <c r="AL131" s="1282"/>
      <c r="AM131" s="1282"/>
      <c r="AN131" s="1282"/>
      <c r="AO131" s="1282"/>
      <c r="AP131" s="1282"/>
      <c r="AQ131" s="1282"/>
      <c r="AR131" s="1483">
        <v>0</v>
      </c>
    </row>
    <row s="1869" customFormat="1" customHeight="1" ht="17.25" hidden="1">
      <c r="A132" s="337"/>
      <c r="C132" s="225"/>
      <c r="D132" s="2151">
        <v>10</v>
      </c>
      <c r="E132" s="2159" t="s">
        <v>363</v>
      </c>
      <c r="F132" s="2161" t="s">
        <v>19</v>
      </c>
      <c r="G132" s="2159"/>
      <c r="H132" s="2164"/>
      <c r="I132" s="2166"/>
      <c r="J132" s="2168"/>
      <c r="K132" s="2153"/>
      <c r="L132" s="2153"/>
      <c r="M132" s="2153"/>
      <c r="N132" s="2155"/>
      <c r="O132" s="2153"/>
      <c r="P132" s="2153"/>
      <c r="Q132" s="2153"/>
      <c r="R132" s="2158"/>
      <c r="S132" s="2153"/>
      <c r="T132" s="1947"/>
      <c r="U132" s="1947"/>
      <c r="V132" s="1949"/>
      <c r="W132" s="1312"/>
      <c r="X132" s="1283"/>
      <c r="Y132" s="1283"/>
      <c r="Z132" s="1283"/>
      <c r="AA132" s="1283"/>
      <c r="AB132" s="1283"/>
      <c r="AC132" s="1283" t="s">
        <v>364</v>
      </c>
      <c r="AD132" s="1283" t="s">
        <v>365</v>
      </c>
      <c r="AE132" s="1283" t="s">
        <v>366</v>
      </c>
      <c r="AF132" s="1283" t="s">
        <v>367</v>
      </c>
      <c r="AG132" s="1283" t="s">
        <v>368</v>
      </c>
      <c r="AH132" s="1283" t="str">
        <f>IF($E$132=0,"",$E$132)</f>
        <v>Предельный уровень цены на тепловую энергию (мощность), поставляемую теплоснабжающими организациями потребителям</v>
      </c>
      <c r="AI132" s="1283" t="str">
        <f>IF($G$132=0,"",$G$132)</f>
        <v/>
      </c>
      <c r="AJ132" s="1283" t="str">
        <f>IF($J$132=0,"",$J$132)</f>
        <v/>
      </c>
      <c r="AK132" s="1283" t="str">
        <f>IF($K$132="нет","без дифференциации",IF($N$132=0,"",$N$132))</f>
        <v/>
      </c>
      <c r="AL132" s="1283" t="str">
        <f>IF($O$132="нет","без дифференциации",IF($R$132=0,"",$R$132))</f>
        <v/>
      </c>
      <c r="AM132" s="1283" t="str">
        <f>IF($S$132="нет","без дифференциации",IF($V$132=0,"",$V$132))</f>
        <v/>
      </c>
      <c r="AN132" s="1788">
        <f>$I$132</f>
        <v>0</v>
      </c>
      <c r="AO132" s="1283" t="str">
        <f>$I$132&amp;"."&amp;$M$132</f>
        <v>.</v>
      </c>
      <c r="AP132" s="1282" t="str">
        <f>$I$132&amp;"."&amp;$M$132&amp;"."&amp;$Q$132</f>
        <v>..</v>
      </c>
      <c r="AQ132" s="1282" t="str">
        <f>$I$132&amp;"."&amp;$M$132&amp;"."&amp;$Q$132&amp;"."&amp;$U$132</f>
        <v>...</v>
      </c>
      <c r="AR132" s="1483">
        <v>0</v>
      </c>
    </row>
    <row s="1869" customFormat="1" customHeight="1" ht="17.25" hidden="1">
      <c r="A133" s="337"/>
      <c r="C133" s="336"/>
      <c r="D133" s="2151"/>
      <c r="E133" s="2159"/>
      <c r="F133" s="2162"/>
      <c r="G133" s="2159"/>
      <c r="H133" s="2165"/>
      <c r="I133" s="2167"/>
      <c r="J133" s="2169"/>
      <c r="K133" s="2154"/>
      <c r="L133" s="2154"/>
      <c r="M133" s="2154"/>
      <c r="N133" s="2156"/>
      <c r="O133" s="2154"/>
      <c r="P133" s="2154"/>
      <c r="Q133" s="2154"/>
      <c r="R133" s="2157"/>
      <c r="S133" s="2154"/>
      <c r="T133" s="1950"/>
      <c r="U133" s="1950"/>
      <c r="V133" s="1950"/>
      <c r="W133" s="1951"/>
      <c r="X133" s="1282"/>
      <c r="Y133" s="1282"/>
      <c r="Z133" s="1282"/>
      <c r="AA133" s="1282"/>
      <c r="AB133" s="1282"/>
      <c r="AC133" s="1282"/>
      <c r="AD133" s="1282"/>
      <c r="AE133" s="1282"/>
      <c r="AF133" s="1282"/>
      <c r="AG133" s="1282"/>
      <c r="AH133" s="1282"/>
      <c r="AI133" s="1282"/>
      <c r="AJ133" s="1282"/>
      <c r="AK133" s="1282"/>
      <c r="AL133" s="1282"/>
      <c r="AM133" s="1282"/>
      <c r="AN133" s="1282"/>
      <c r="AO133" s="1282"/>
      <c r="AP133" s="1282"/>
      <c r="AQ133" s="1282"/>
      <c r="AR133" s="1483">
        <v>0</v>
      </c>
    </row>
    <row s="1869" customFormat="1" customHeight="1" ht="17.25" hidden="1">
      <c r="A134" s="337"/>
      <c r="C134" s="336"/>
      <c r="D134" s="2152"/>
      <c r="E134" s="2160"/>
      <c r="F134" s="2162"/>
      <c r="G134" s="2160"/>
      <c r="H134" s="2165"/>
      <c r="I134" s="2167"/>
      <c r="J134" s="2170"/>
      <c r="K134" s="2154"/>
      <c r="L134" s="2154"/>
      <c r="M134" s="2154"/>
      <c r="N134" s="2157"/>
      <c r="O134" s="2154"/>
      <c r="P134" s="1948"/>
      <c r="Q134" s="1950"/>
      <c r="R134" s="1950"/>
      <c r="S134" s="345"/>
      <c r="T134" s="345"/>
      <c r="U134" s="345"/>
      <c r="V134" s="345"/>
      <c r="W134" s="1951"/>
      <c r="X134" s="1282"/>
      <c r="Y134" s="1282"/>
      <c r="Z134" s="1282"/>
      <c r="AA134" s="1282"/>
      <c r="AB134" s="1282"/>
      <c r="AC134" s="1282"/>
      <c r="AD134" s="1282"/>
      <c r="AE134" s="1282"/>
      <c r="AF134" s="1282"/>
      <c r="AG134" s="1282"/>
      <c r="AH134" s="1282"/>
      <c r="AI134" s="1282"/>
      <c r="AJ134" s="1282"/>
      <c r="AK134" s="1282"/>
      <c r="AL134" s="1282"/>
      <c r="AM134" s="1282"/>
      <c r="AN134" s="1282"/>
      <c r="AO134" s="1282"/>
      <c r="AP134" s="1282"/>
      <c r="AQ134" s="1282"/>
      <c r="AR134" s="1483">
        <v>0</v>
      </c>
    </row>
    <row s="1869" customFormat="1" customHeight="1" ht="17.25" hidden="1">
      <c r="A135" s="337"/>
      <c r="C135" s="225"/>
      <c r="D135" s="2152"/>
      <c r="E135" s="2160"/>
      <c r="F135" s="2162"/>
      <c r="G135" s="2160"/>
      <c r="H135" s="2165"/>
      <c r="I135" s="2167"/>
      <c r="J135" s="2170"/>
      <c r="K135" s="2154"/>
      <c r="L135" s="1950"/>
      <c r="M135" s="1950"/>
      <c r="N135" s="1950"/>
      <c r="O135" s="1950"/>
      <c r="P135" s="1950"/>
      <c r="Q135" s="1950"/>
      <c r="R135" s="1950"/>
      <c r="S135" s="345"/>
      <c r="T135" s="345"/>
      <c r="U135" s="345"/>
      <c r="V135" s="345"/>
      <c r="W135" s="1951"/>
      <c r="Y135" s="1283"/>
      <c r="Z135" s="1283"/>
      <c r="AA135" s="1283"/>
      <c r="AB135" s="1283"/>
      <c r="AC135" s="1283"/>
      <c r="AD135" s="1283"/>
      <c r="AE135" s="1283"/>
      <c r="AF135" s="1283"/>
      <c r="AG135" s="1283"/>
      <c r="AH135" s="1283"/>
      <c r="AI135" s="1283"/>
      <c r="AJ135" s="1283"/>
      <c r="AK135" s="1283"/>
      <c r="AL135" s="1283"/>
      <c r="AM135" s="1283"/>
      <c r="AN135" s="1283"/>
      <c r="AO135" s="1283"/>
      <c r="AP135" s="1283"/>
      <c r="AQ135" s="1283"/>
      <c r="AR135" s="1483">
        <v>0</v>
      </c>
    </row>
    <row s="1869" customFormat="1" customHeight="1" ht="17.25" hidden="1">
      <c r="A136" s="337"/>
      <c r="C136" s="336"/>
      <c r="D136" s="2152"/>
      <c r="E136" s="2160"/>
      <c r="F136" s="2163"/>
      <c r="G136" s="2160"/>
      <c r="H136" s="1315"/>
      <c r="I136" s="1952"/>
      <c r="J136" s="1952"/>
      <c r="K136" s="1952"/>
      <c r="L136" s="1952"/>
      <c r="M136" s="1952"/>
      <c r="N136" s="1952"/>
      <c r="O136" s="1952"/>
      <c r="P136" s="1952"/>
      <c r="Q136" s="1952"/>
      <c r="R136" s="1952"/>
      <c r="S136" s="1317"/>
      <c r="T136" s="1317"/>
      <c r="U136" s="1317"/>
      <c r="V136" s="1317"/>
      <c r="W136" s="1953"/>
      <c r="X136" s="1282"/>
      <c r="Y136" s="1282"/>
      <c r="Z136" s="1282"/>
      <c r="AA136" s="1282"/>
      <c r="AB136" s="1282"/>
      <c r="AC136" s="1282"/>
      <c r="AD136" s="1282"/>
      <c r="AE136" s="1282"/>
      <c r="AF136" s="1282"/>
      <c r="AG136" s="1282"/>
      <c r="AH136" s="1282"/>
      <c r="AI136" s="1282"/>
      <c r="AJ136" s="1282"/>
      <c r="AK136" s="1282"/>
      <c r="AL136" s="1282"/>
      <c r="AM136" s="1282"/>
      <c r="AN136" s="1282"/>
      <c r="AO136" s="1282"/>
      <c r="AP136" s="1282"/>
      <c r="AQ136" s="1282"/>
      <c r="AR136" s="1483">
        <v>0</v>
      </c>
    </row>
    <row customHeight="1" ht="11.25">
      <c r="AR137" s="120">
        <v>0</v>
      </c>
    </row>
    <row customHeight="1" ht="11.25">
      <c r="E138" s="2190" t="s">
        <v>369</v>
      </c>
      <c r="F138" s="2190"/>
      <c r="G138" s="2190"/>
      <c r="H138" s="2190"/>
      <c r="I138" s="2190"/>
      <c r="J138" s="2190"/>
      <c r="K138" s="2190"/>
      <c r="L138" s="2190"/>
      <c r="M138" s="2190"/>
      <c r="N138" s="2190"/>
      <c r="O138" s="2190"/>
      <c r="P138" s="2190"/>
      <c r="Q138" s="2190"/>
      <c r="R138" s="2190"/>
      <c r="S138" s="2190"/>
      <c r="T138" s="2190"/>
      <c r="U138" s="2190"/>
      <c r="V138" s="2190"/>
      <c r="W138" s="2190"/>
      <c r="AR138" s="120">
        <v>0</v>
      </c>
    </row>
    <row customHeight="1" ht="36.75">
      <c r="E139" s="2188" t="s">
        <v>370</v>
      </c>
      <c r="F139" s="2188"/>
      <c r="G139" s="2189"/>
      <c r="H139" s="2189"/>
      <c r="I139" s="2189"/>
      <c r="J139" s="2189"/>
      <c r="K139" s="2189"/>
      <c r="L139" s="2189"/>
      <c r="M139" s="2189"/>
      <c r="N139" s="2189"/>
      <c r="O139" s="2189"/>
      <c r="P139" s="2189"/>
      <c r="Q139" s="2189"/>
      <c r="R139" s="2189"/>
      <c r="S139" s="2189"/>
      <c r="T139" s="2189"/>
      <c r="U139" s="2189"/>
      <c r="V139" s="2189"/>
      <c r="W139" s="2189"/>
      <c r="AR139" s="120">
        <v>0</v>
      </c>
    </row>
    <row customHeight="1" ht="28.5">
      <c r="E140" s="2188" t="s">
        <v>371</v>
      </c>
      <c r="F140" s="2188"/>
      <c r="G140" s="2189"/>
      <c r="H140" s="2189"/>
      <c r="I140" s="2189"/>
      <c r="J140" s="2189"/>
      <c r="K140" s="2189"/>
      <c r="L140" s="2189"/>
      <c r="M140" s="2189"/>
      <c r="N140" s="2189"/>
      <c r="O140" s="2189"/>
      <c r="P140" s="2189"/>
      <c r="Q140" s="2189"/>
      <c r="R140" s="2189"/>
      <c r="S140" s="2189"/>
      <c r="T140" s="2189"/>
      <c r="U140" s="2189"/>
      <c r="V140" s="2189"/>
      <c r="W140" s="2189"/>
      <c r="AR140" s="120">
        <v>0</v>
      </c>
    </row>
    <row customHeight="1" ht="27">
      <c r="E141" s="2188" t="s">
        <v>372</v>
      </c>
      <c r="F141" s="2188"/>
      <c r="G141" s="2189"/>
      <c r="H141" s="2189"/>
      <c r="I141" s="2189"/>
      <c r="J141" s="2189"/>
      <c r="K141" s="2189"/>
      <c r="L141" s="2189"/>
      <c r="M141" s="2189"/>
      <c r="N141" s="2189"/>
      <c r="O141" s="2189"/>
      <c r="P141" s="2189"/>
      <c r="Q141" s="2189"/>
      <c r="R141" s="2189"/>
      <c r="S141" s="2189"/>
      <c r="T141" s="2189"/>
      <c r="U141" s="2189"/>
      <c r="V141" s="2189"/>
      <c r="W141" s="2189"/>
      <c r="AR141" s="120">
        <v>0</v>
      </c>
    </row>
    <row customHeight="1" ht="17.25">
      <c r="E142" s="2188" t="s">
        <v>373</v>
      </c>
      <c r="F142" s="2188"/>
      <c r="G142" s="2189"/>
      <c r="H142" s="2189"/>
      <c r="I142" s="2189"/>
      <c r="J142" s="2189"/>
      <c r="K142" s="2189"/>
      <c r="L142" s="2189"/>
      <c r="M142" s="2189"/>
      <c r="N142" s="2189"/>
      <c r="O142" s="2189"/>
      <c r="P142" s="2189"/>
      <c r="Q142" s="2189"/>
      <c r="R142" s="2189"/>
      <c r="S142" s="2189"/>
      <c r="T142" s="2189"/>
      <c r="U142" s="2189"/>
      <c r="V142" s="2189"/>
      <c r="W142" s="2189"/>
      <c r="AR142" s="120">
        <v>0</v>
      </c>
    </row>
    <row customHeight="1" ht="15">
      <c r="E143" s="356"/>
      <c r="F143" s="1301"/>
      <c r="G143" s="173"/>
      <c r="H143" s="173"/>
      <c r="I143" s="173"/>
      <c r="J143" s="173"/>
      <c r="K143" s="173"/>
      <c r="L143" s="173"/>
      <c r="M143" s="173"/>
      <c r="N143" s="173"/>
      <c r="O143" s="173"/>
      <c r="P143" s="173"/>
      <c r="Q143" s="173"/>
      <c r="R143" s="173"/>
      <c r="S143" s="173"/>
      <c r="T143" s="173"/>
      <c r="U143" s="173"/>
      <c r="V143" s="173"/>
      <c r="W143" s="173"/>
      <c r="AR143" s="120">
        <v>0</v>
      </c>
    </row>
    <row customHeight="1" ht="15">
      <c r="E144" s="2190" t="s">
        <v>374</v>
      </c>
      <c r="F144" s="2190"/>
      <c r="G144" s="2190"/>
      <c r="H144" s="2190"/>
      <c r="I144" s="2190"/>
      <c r="J144" s="2190"/>
      <c r="K144" s="2190"/>
      <c r="L144" s="2190"/>
      <c r="M144" s="2190"/>
      <c r="N144" s="2190"/>
      <c r="O144" s="2190"/>
      <c r="P144" s="2190"/>
      <c r="Q144" s="2190"/>
      <c r="R144" s="2190"/>
      <c r="S144" s="2190"/>
      <c r="T144" s="2190"/>
      <c r="U144" s="2190"/>
      <c r="V144" s="2190"/>
      <c r="W144" s="2190"/>
      <c r="AR144" s="120">
        <v>0</v>
      </c>
    </row>
    <row customHeight="1" ht="17.25">
      <c r="E145" s="2188" t="s">
        <v>375</v>
      </c>
      <c r="F145" s="2188"/>
      <c r="G145" s="2189"/>
      <c r="H145" s="2189"/>
      <c r="I145" s="2189"/>
      <c r="J145" s="2189"/>
      <c r="K145" s="2189"/>
      <c r="L145" s="2189"/>
      <c r="M145" s="2189"/>
      <c r="N145" s="2189"/>
      <c r="O145" s="2189"/>
      <c r="P145" s="2189"/>
      <c r="Q145" s="2189"/>
      <c r="R145" s="2189"/>
      <c r="S145" s="2189"/>
      <c r="T145" s="2189"/>
      <c r="U145" s="2189"/>
      <c r="V145" s="2189"/>
      <c r="W145" s="2189"/>
      <c r="AR145" s="120">
        <v>0</v>
      </c>
    </row>
    <row customHeight="1" ht="17.25">
      <c r="E146" s="2188" t="s">
        <v>376</v>
      </c>
      <c r="F146" s="2188"/>
      <c r="G146" s="2189"/>
      <c r="H146" s="2189"/>
      <c r="I146" s="2189"/>
      <c r="J146" s="2189"/>
      <c r="K146" s="2189"/>
      <c r="L146" s="2189"/>
      <c r="M146" s="2189"/>
      <c r="N146" s="2189"/>
      <c r="O146" s="2189"/>
      <c r="P146" s="2189"/>
      <c r="Q146" s="2189"/>
      <c r="R146" s="2189"/>
      <c r="S146" s="2189"/>
      <c r="T146" s="2189"/>
      <c r="U146" s="2189"/>
      <c r="V146" s="2189"/>
      <c r="W146" s="2189"/>
      <c r="AR146" s="120">
        <v>0</v>
      </c>
    </row>
    <row s="1869" customFormat="1" customHeight="1" ht="11.25" hidden="1">
      <c r="A147" s="293"/>
      <c r="B147" s="293"/>
      <c r="Y147" s="1275"/>
      <c r="Z147" s="1275"/>
      <c r="AA147" s="1275"/>
      <c r="AB147" s="1275"/>
      <c r="AC147" s="1275"/>
      <c r="AD147" s="1275"/>
      <c r="AE147" s="1275"/>
      <c r="AF147" s="1275"/>
      <c r="AG147" s="1275"/>
      <c r="AH147" s="1275"/>
      <c r="AI147" s="1275"/>
      <c r="AJ147" s="1275"/>
      <c r="AK147" s="1275"/>
      <c r="AL147" s="1275"/>
      <c r="AM147" s="1275"/>
      <c r="AN147" s="1275"/>
      <c r="AO147" s="1275"/>
      <c r="AP147" s="1275"/>
      <c r="AQ147" s="1275"/>
      <c r="AR147" s="1366">
        <v>0</v>
      </c>
    </row>
    <row s="1869" customFormat="1" customHeight="1" ht="17.25" hidden="1">
      <c r="A148" s="337"/>
      <c r="C148" s="225"/>
      <c r="D148" s="2151">
        <v>1</v>
      </c>
      <c r="E148" s="2159" t="s">
        <v>377</v>
      </c>
      <c r="F148" s="2161" t="s">
        <v>19</v>
      </c>
      <c r="G148" s="2159"/>
      <c r="H148" s="2164"/>
      <c r="I148" s="2166"/>
      <c r="J148" s="2168"/>
      <c r="K148" s="2153"/>
      <c r="L148" s="2153"/>
      <c r="M148" s="2153"/>
      <c r="N148" s="2155"/>
      <c r="O148" s="2153"/>
      <c r="P148" s="2153"/>
      <c r="Q148" s="2153"/>
      <c r="R148" s="2158"/>
      <c r="S148" s="2153"/>
      <c r="T148" s="1486"/>
      <c r="U148" s="1486"/>
      <c r="V148" s="1488"/>
      <c r="W148" s="1312"/>
      <c r="Y148" s="1283"/>
      <c r="Z148" s="1283"/>
      <c r="AA148" s="1283"/>
      <c r="AB148" s="1283"/>
      <c r="AC148" s="1283" t="s">
        <v>378</v>
      </c>
      <c r="AD148" s="1283" t="s">
        <v>379</v>
      </c>
      <c r="AE148" s="1283" t="s">
        <v>380</v>
      </c>
      <c r="AF148" s="1283" t="s">
        <v>381</v>
      </c>
      <c r="AG148" s="1283"/>
      <c r="AH148" s="1283" t="str">
        <f>IF($E$148=0,"",$E$148)</f>
        <v>Тариф на питьевую воду (питьевое водоснабжение)</v>
      </c>
      <c r="AI148" s="1283" t="str">
        <f>IF($G$148=0,"",$G$148)</f>
        <v/>
      </c>
      <c r="AJ148" s="1283" t="str">
        <f>IF($J$148=0,"",$J$148)</f>
        <v/>
      </c>
      <c r="AK148" s="1283" t="str">
        <f>IF($K$148="нет","без дифференциации",IF($N$148=0,"",$N$148))</f>
        <v/>
      </c>
      <c r="AL148" s="1283" t="str">
        <f>IF($O$148="нет","без дифференциации",IF($R$148=0,"",$R$148))</f>
        <v/>
      </c>
      <c r="AM148" s="1283" t="str">
        <f>IF($S$148="нет","без дифференциации",IF($V$148=0,"",$V$148))</f>
        <v/>
      </c>
      <c r="AN148" s="1283">
        <f>$I$148</f>
        <v>0</v>
      </c>
      <c r="AO148" s="1283" t="str">
        <f>$I$148&amp;"."&amp;$M$148</f>
        <v>.</v>
      </c>
      <c r="AP148" s="1283" t="str">
        <f>$I$148&amp;"."&amp;$M$148&amp;"."&amp;$Q$148</f>
        <v>..</v>
      </c>
      <c r="AQ148" s="1283" t="str">
        <f>$I$148&amp;"."&amp;$M$148&amp;"."&amp;$Q$148&amp;"."&amp;$U$148</f>
        <v>...</v>
      </c>
      <c r="AR148" s="1366">
        <v>0</v>
      </c>
    </row>
    <row s="1869" customFormat="1" customHeight="1" ht="17.25" hidden="1">
      <c r="A149" s="337"/>
      <c r="C149" s="336"/>
      <c r="D149" s="2151"/>
      <c r="E149" s="2159"/>
      <c r="F149" s="2162"/>
      <c r="G149" s="2159"/>
      <c r="H149" s="2165"/>
      <c r="I149" s="2167"/>
      <c r="J149" s="2169"/>
      <c r="K149" s="2154"/>
      <c r="L149" s="2154"/>
      <c r="M149" s="2154"/>
      <c r="N149" s="2156"/>
      <c r="O149" s="2154"/>
      <c r="P149" s="2154"/>
      <c r="Q149" s="2154"/>
      <c r="R149" s="2157"/>
      <c r="S149" s="2154"/>
      <c r="T149" s="1313"/>
      <c r="U149" s="1313"/>
      <c r="V149" s="1313"/>
      <c r="W149" s="1314"/>
      <c r="Y149" s="1275"/>
      <c r="Z149" s="1275"/>
      <c r="AA149" s="1275"/>
      <c r="AB149" s="1275"/>
      <c r="AC149" s="1275"/>
      <c r="AD149" s="1275"/>
      <c r="AE149" s="1275"/>
      <c r="AF149" s="1275"/>
      <c r="AG149" s="1275"/>
      <c r="AH149" s="1275"/>
      <c r="AI149" s="1275"/>
      <c r="AJ149" s="1275"/>
      <c r="AK149" s="1275"/>
      <c r="AL149" s="1275"/>
      <c r="AM149" s="1275"/>
      <c r="AN149" s="1275"/>
      <c r="AO149" s="1275"/>
      <c r="AP149" s="1275"/>
      <c r="AQ149" s="1275"/>
      <c r="AR149" s="1366">
        <v>0</v>
      </c>
    </row>
    <row s="1869" customFormat="1" customHeight="1" ht="17.25" hidden="1">
      <c r="A150" s="337"/>
      <c r="C150" s="225"/>
      <c r="D150" s="2151"/>
      <c r="E150" s="2159"/>
      <c r="F150" s="2162"/>
      <c r="G150" s="2159"/>
      <c r="H150" s="2165"/>
      <c r="I150" s="2167"/>
      <c r="J150" s="2170"/>
      <c r="K150" s="2154"/>
      <c r="L150" s="2154"/>
      <c r="M150" s="2154"/>
      <c r="N150" s="2157"/>
      <c r="O150" s="2154"/>
      <c r="P150" s="1487"/>
      <c r="Q150" s="1313"/>
      <c r="R150" s="1313"/>
      <c r="S150" s="345"/>
      <c r="T150" s="345"/>
      <c r="U150" s="345"/>
      <c r="V150" s="345"/>
      <c r="W150" s="1314"/>
      <c r="Y150" s="1283"/>
      <c r="Z150" s="1283"/>
      <c r="AA150" s="1283"/>
      <c r="AB150" s="1283"/>
      <c r="AC150" s="1283"/>
      <c r="AD150" s="1283"/>
      <c r="AE150" s="1283"/>
      <c r="AF150" s="1283"/>
      <c r="AG150" s="1283"/>
      <c r="AH150" s="1283"/>
      <c r="AI150" s="1283"/>
      <c r="AJ150" s="1283"/>
      <c r="AK150" s="1283"/>
      <c r="AL150" s="1283"/>
      <c r="AM150" s="1283"/>
      <c r="AN150" s="1283"/>
      <c r="AO150" s="1283"/>
      <c r="AP150" s="1283"/>
      <c r="AQ150" s="1283"/>
      <c r="AR150" s="1457">
        <v>0</v>
      </c>
    </row>
    <row s="1869" customFormat="1" customHeight="1" ht="17.25" hidden="1">
      <c r="A151" s="337"/>
      <c r="C151" s="336"/>
      <c r="D151" s="2151"/>
      <c r="E151" s="2159"/>
      <c r="F151" s="2162"/>
      <c r="G151" s="2159"/>
      <c r="H151" s="2165"/>
      <c r="I151" s="2167"/>
      <c r="J151" s="2170"/>
      <c r="K151" s="2154"/>
      <c r="L151" s="1313"/>
      <c r="M151" s="1313"/>
      <c r="N151" s="1313"/>
      <c r="O151" s="1313"/>
      <c r="P151" s="1313"/>
      <c r="Q151" s="1313"/>
      <c r="R151" s="1313"/>
      <c r="S151" s="345"/>
      <c r="T151" s="345"/>
      <c r="U151" s="345"/>
      <c r="V151" s="345"/>
      <c r="W151" s="1314"/>
      <c r="Y151" s="1275"/>
      <c r="Z151" s="1275"/>
      <c r="AA151" s="1275"/>
      <c r="AB151" s="1275"/>
      <c r="AC151" s="1275"/>
      <c r="AD151" s="1275"/>
      <c r="AE151" s="1275"/>
      <c r="AF151" s="1275"/>
      <c r="AG151" s="1275"/>
      <c r="AH151" s="1275"/>
      <c r="AI151" s="1275"/>
      <c r="AJ151" s="1275"/>
      <c r="AK151" s="1275"/>
      <c r="AL151" s="1275"/>
      <c r="AM151" s="1275"/>
      <c r="AN151" s="1275"/>
      <c r="AO151" s="1275"/>
      <c r="AP151" s="1275"/>
      <c r="AQ151" s="1275"/>
      <c r="AR151" s="1457">
        <v>0</v>
      </c>
    </row>
    <row s="1869" customFormat="1" customHeight="1" ht="17.25" hidden="1">
      <c r="A152" s="337"/>
      <c r="C152" s="336"/>
      <c r="D152" s="2152"/>
      <c r="E152" s="2160"/>
      <c r="F152" s="2163"/>
      <c r="G152" s="2160"/>
      <c r="H152" s="1315"/>
      <c r="I152" s="1316"/>
      <c r="J152" s="1316"/>
      <c r="K152" s="1316"/>
      <c r="L152" s="1316"/>
      <c r="M152" s="1316"/>
      <c r="N152" s="1316"/>
      <c r="O152" s="1316"/>
      <c r="P152" s="1316"/>
      <c r="Q152" s="1316"/>
      <c r="R152" s="1316"/>
      <c r="S152" s="1317"/>
      <c r="T152" s="1317"/>
      <c r="U152" s="1317"/>
      <c r="V152" s="1317"/>
      <c r="W152" s="1318"/>
      <c r="Y152" s="1275"/>
      <c r="Z152" s="1275"/>
      <c r="AA152" s="1275"/>
      <c r="AB152" s="1275"/>
      <c r="AC152" s="1275"/>
      <c r="AD152" s="1275"/>
      <c r="AE152" s="1275"/>
      <c r="AF152" s="1275"/>
      <c r="AG152" s="1275"/>
      <c r="AH152" s="1275"/>
      <c r="AI152" s="1275"/>
      <c r="AJ152" s="1275"/>
      <c r="AK152" s="1275"/>
      <c r="AL152" s="1275"/>
      <c r="AM152" s="1275"/>
      <c r="AN152" s="1275"/>
      <c r="AO152" s="1275"/>
      <c r="AP152" s="1275"/>
      <c r="AQ152" s="1275"/>
      <c r="AR152" s="1366">
        <v>0</v>
      </c>
    </row>
    <row s="1869" customFormat="1" customHeight="1" ht="17.25" hidden="1">
      <c r="A153" s="337"/>
      <c r="C153" s="225"/>
      <c r="D153" s="2151">
        <v>2</v>
      </c>
      <c r="E153" s="2159" t="s">
        <v>382</v>
      </c>
      <c r="F153" s="2161" t="s">
        <v>19</v>
      </c>
      <c r="G153" s="2159"/>
      <c r="H153" s="2164"/>
      <c r="I153" s="2166"/>
      <c r="J153" s="2168"/>
      <c r="K153" s="2153"/>
      <c r="L153" s="2153"/>
      <c r="M153" s="2153"/>
      <c r="N153" s="2155"/>
      <c r="O153" s="2153"/>
      <c r="P153" s="2153"/>
      <c r="Q153" s="2153"/>
      <c r="R153" s="2158"/>
      <c r="S153" s="2153"/>
      <c r="T153" s="1459"/>
      <c r="U153" s="1459"/>
      <c r="V153" s="1461"/>
      <c r="W153" s="1312"/>
      <c r="X153" s="1283"/>
      <c r="Y153" s="1283"/>
      <c r="Z153" s="1283"/>
      <c r="AA153" s="1283"/>
      <c r="AB153" s="1283"/>
      <c r="AC153" s="1283" t="s">
        <v>383</v>
      </c>
      <c r="AD153" s="1283" t="s">
        <v>384</v>
      </c>
      <c r="AE153" s="1283" t="s">
        <v>385</v>
      </c>
      <c r="AF153" s="1283" t="s">
        <v>386</v>
      </c>
      <c r="AG153" s="1283"/>
      <c r="AH153" s="1283" t="str">
        <f>IF($E$153=0,"",$E$153)</f>
        <v>Тариф на техническую воду</v>
      </c>
      <c r="AI153" s="1283" t="str">
        <f>IF($G$153=0,"",$G$153)</f>
        <v/>
      </c>
      <c r="AJ153" s="1283" t="str">
        <f>IF($J$153=0,"",$J$153)</f>
        <v/>
      </c>
      <c r="AK153" s="1283" t="str">
        <f>IF($K$153="нет","без дифференциации",IF($N$153=0,"",$N$153))</f>
        <v/>
      </c>
      <c r="AL153" s="1283" t="str">
        <f>IF($O$153="нет","без дифференциации",IF($R$153=0,"",$R$153))</f>
        <v/>
      </c>
      <c r="AM153" s="1283" t="str">
        <f>IF($S$153="нет","без дифференциации",IF($V$153=0,"",$V$153))</f>
        <v/>
      </c>
      <c r="AN153" s="1788">
        <f>$I$153</f>
        <v>0</v>
      </c>
      <c r="AO153" s="1283" t="str">
        <f>$I$153&amp;"."&amp;$M$153</f>
        <v>.</v>
      </c>
      <c r="AP153" s="1275" t="str">
        <f>$I$153&amp;"."&amp;$M$153&amp;"."&amp;$Q$153</f>
        <v>..</v>
      </c>
      <c r="AQ153" s="1275" t="str">
        <f>$I$153&amp;"."&amp;$M$153&amp;"."&amp;$Q$153&amp;"."&amp;$U$153</f>
        <v>...</v>
      </c>
      <c r="AR153" s="1366">
        <v>0</v>
      </c>
    </row>
    <row s="1869" customFormat="1" customHeight="1" ht="17.25" hidden="1">
      <c r="A154" s="337"/>
      <c r="C154" s="336"/>
      <c r="D154" s="2151"/>
      <c r="E154" s="2159"/>
      <c r="F154" s="2162"/>
      <c r="G154" s="2159"/>
      <c r="H154" s="2165"/>
      <c r="I154" s="2167"/>
      <c r="J154" s="2169"/>
      <c r="K154" s="2154"/>
      <c r="L154" s="2154"/>
      <c r="M154" s="2154"/>
      <c r="N154" s="2156"/>
      <c r="O154" s="2154"/>
      <c r="P154" s="2154"/>
      <c r="Q154" s="2154"/>
      <c r="R154" s="2157"/>
      <c r="S154" s="2154"/>
      <c r="T154" s="1313"/>
      <c r="U154" s="1313"/>
      <c r="V154" s="1313"/>
      <c r="W154" s="1314"/>
      <c r="X154" s="1275"/>
      <c r="Y154" s="1275"/>
      <c r="Z154" s="1275"/>
      <c r="AA154" s="1275"/>
      <c r="AB154" s="1275"/>
      <c r="AC154" s="1275"/>
      <c r="AD154" s="1275"/>
      <c r="AE154" s="1275"/>
      <c r="AF154" s="1275"/>
      <c r="AG154" s="1275"/>
      <c r="AH154" s="1275"/>
      <c r="AI154" s="1275"/>
      <c r="AJ154" s="1275"/>
      <c r="AK154" s="1275"/>
      <c r="AL154" s="1275"/>
      <c r="AM154" s="1275"/>
      <c r="AN154" s="1275"/>
      <c r="AO154" s="1275"/>
      <c r="AP154" s="1275"/>
      <c r="AQ154" s="1275"/>
      <c r="AR154" s="1366">
        <v>0</v>
      </c>
    </row>
    <row s="1869" customFormat="1" customHeight="1" ht="17.25" hidden="1">
      <c r="A155" s="337"/>
      <c r="C155" s="336"/>
      <c r="D155" s="2152"/>
      <c r="E155" s="2160"/>
      <c r="F155" s="2162"/>
      <c r="G155" s="2160"/>
      <c r="H155" s="2165"/>
      <c r="I155" s="2167"/>
      <c r="J155" s="2170"/>
      <c r="K155" s="2154"/>
      <c r="L155" s="2154"/>
      <c r="M155" s="2154"/>
      <c r="N155" s="2157"/>
      <c r="O155" s="2154"/>
      <c r="P155" s="1460"/>
      <c r="Q155" s="1313"/>
      <c r="R155" s="1313"/>
      <c r="S155" s="345"/>
      <c r="T155" s="345"/>
      <c r="U155" s="345"/>
      <c r="V155" s="345"/>
      <c r="W155" s="1314"/>
      <c r="X155" s="1275"/>
      <c r="Y155" s="1275"/>
      <c r="Z155" s="1275"/>
      <c r="AA155" s="1275"/>
      <c r="AB155" s="1275"/>
      <c r="AC155" s="1275"/>
      <c r="AD155" s="1275"/>
      <c r="AE155" s="1275"/>
      <c r="AF155" s="1275"/>
      <c r="AG155" s="1275"/>
      <c r="AH155" s="1275"/>
      <c r="AI155" s="1275"/>
      <c r="AJ155" s="1275"/>
      <c r="AK155" s="1275"/>
      <c r="AL155" s="1275"/>
      <c r="AM155" s="1275"/>
      <c r="AN155" s="1275"/>
      <c r="AO155" s="1275"/>
      <c r="AP155" s="1275"/>
      <c r="AQ155" s="1275"/>
      <c r="AR155" s="1366">
        <v>0</v>
      </c>
    </row>
    <row s="1869" customFormat="1" customHeight="1" ht="17.25" hidden="1">
      <c r="A156" s="337"/>
      <c r="C156" s="336"/>
      <c r="D156" s="2152"/>
      <c r="E156" s="2160"/>
      <c r="F156" s="2162"/>
      <c r="G156" s="2160"/>
      <c r="H156" s="2165"/>
      <c r="I156" s="2167"/>
      <c r="J156" s="2170"/>
      <c r="K156" s="2154"/>
      <c r="L156" s="1313"/>
      <c r="M156" s="1313"/>
      <c r="N156" s="1313"/>
      <c r="O156" s="1313"/>
      <c r="P156" s="1313"/>
      <c r="Q156" s="1313"/>
      <c r="R156" s="1313"/>
      <c r="S156" s="345"/>
      <c r="T156" s="345"/>
      <c r="U156" s="345"/>
      <c r="V156" s="345"/>
      <c r="W156" s="1314"/>
      <c r="X156" s="1275"/>
      <c r="Y156" s="1275"/>
      <c r="Z156" s="1275"/>
      <c r="AA156" s="1275"/>
      <c r="AB156" s="1275"/>
      <c r="AC156" s="1275"/>
      <c r="AD156" s="1275"/>
      <c r="AE156" s="1275"/>
      <c r="AF156" s="1275"/>
      <c r="AG156" s="1275"/>
      <c r="AH156" s="1275"/>
      <c r="AI156" s="1275"/>
      <c r="AJ156" s="1275"/>
      <c r="AK156" s="1275"/>
      <c r="AL156" s="1275"/>
      <c r="AM156" s="1275"/>
      <c r="AN156" s="1275"/>
      <c r="AO156" s="1275"/>
      <c r="AP156" s="1275"/>
      <c r="AQ156" s="1275"/>
      <c r="AR156" s="1366">
        <v>0</v>
      </c>
    </row>
    <row s="1869" customFormat="1" customHeight="1" ht="17.25" hidden="1">
      <c r="A157" s="337"/>
      <c r="C157" s="336"/>
      <c r="D157" s="2152"/>
      <c r="E157" s="2160"/>
      <c r="F157" s="2163"/>
      <c r="G157" s="2160"/>
      <c r="H157" s="1315"/>
      <c r="I157" s="1316"/>
      <c r="J157" s="1316"/>
      <c r="K157" s="1316"/>
      <c r="L157" s="1316"/>
      <c r="M157" s="1316"/>
      <c r="N157" s="1316"/>
      <c r="O157" s="1316"/>
      <c r="P157" s="1316"/>
      <c r="Q157" s="1316"/>
      <c r="R157" s="1316"/>
      <c r="S157" s="1317"/>
      <c r="T157" s="1317"/>
      <c r="U157" s="1317"/>
      <c r="V157" s="1317"/>
      <c r="W157" s="1318"/>
      <c r="X157" s="1275"/>
      <c r="Y157" s="1275"/>
      <c r="Z157" s="1275"/>
      <c r="AA157" s="1275"/>
      <c r="AB157" s="1275"/>
      <c r="AC157" s="1275"/>
      <c r="AD157" s="1275"/>
      <c r="AE157" s="1275"/>
      <c r="AF157" s="1275"/>
      <c r="AG157" s="1275"/>
      <c r="AH157" s="1275"/>
      <c r="AI157" s="1275"/>
      <c r="AJ157" s="1275"/>
      <c r="AK157" s="1275"/>
      <c r="AL157" s="1275"/>
      <c r="AM157" s="1275"/>
      <c r="AN157" s="1275"/>
      <c r="AO157" s="1275"/>
      <c r="AP157" s="1275"/>
      <c r="AQ157" s="1275"/>
      <c r="AR157" s="1366">
        <v>0</v>
      </c>
    </row>
    <row s="1869" customFormat="1" customHeight="1" ht="17.25" hidden="1">
      <c r="A158" s="337"/>
      <c r="C158" s="225"/>
      <c r="D158" s="2151">
        <v>3</v>
      </c>
      <c r="E158" s="2159" t="s">
        <v>387</v>
      </c>
      <c r="F158" s="2161" t="s">
        <v>19</v>
      </c>
      <c r="G158" s="2159"/>
      <c r="H158" s="2164"/>
      <c r="I158" s="2166"/>
      <c r="J158" s="2168"/>
      <c r="K158" s="2153"/>
      <c r="L158" s="2153"/>
      <c r="M158" s="2153"/>
      <c r="N158" s="2155"/>
      <c r="O158" s="2153"/>
      <c r="P158" s="2153"/>
      <c r="Q158" s="2153"/>
      <c r="R158" s="2158"/>
      <c r="S158" s="2153"/>
      <c r="T158" s="1459"/>
      <c r="U158" s="1459"/>
      <c r="V158" s="1461"/>
      <c r="W158" s="1312"/>
      <c r="X158" s="1283"/>
      <c r="Y158" s="1283"/>
      <c r="Z158" s="1283"/>
      <c r="AA158" s="1283"/>
      <c r="AB158" s="1283"/>
      <c r="AC158" s="1283" t="s">
        <v>388</v>
      </c>
      <c r="AD158" s="1283" t="s">
        <v>389</v>
      </c>
      <c r="AE158" s="1283" t="s">
        <v>390</v>
      </c>
      <c r="AF158" s="1283" t="s">
        <v>391</v>
      </c>
      <c r="AG158" s="1283"/>
      <c r="AH158" s="1283" t="str">
        <f>IF($E$158=0,"",$E$158)</f>
        <v>Тариф на транспортировку воды</v>
      </c>
      <c r="AI158" s="1283" t="str">
        <f>IF($G$158=0,"",$G$158)</f>
        <v/>
      </c>
      <c r="AJ158" s="1283" t="str">
        <f>IF($J$158=0,"",$J$158)</f>
        <v/>
      </c>
      <c r="AK158" s="1283" t="str">
        <f>IF($K$158="нет","без дифференциации",IF($N$158=0,"",$N$158))</f>
        <v/>
      </c>
      <c r="AL158" s="1283" t="str">
        <f>IF($O$158="нет","без дифференциации",IF($R$158=0,"",$R$158))</f>
        <v/>
      </c>
      <c r="AM158" s="1283" t="str">
        <f>IF($S$158="нет","без дифференциации",IF($V$158=0,"",$V$158))</f>
        <v/>
      </c>
      <c r="AN158" s="1788">
        <f>$I$158</f>
        <v>0</v>
      </c>
      <c r="AO158" s="1283" t="str">
        <f>$I$158&amp;"."&amp;$M$158</f>
        <v>.</v>
      </c>
      <c r="AP158" s="1275" t="str">
        <f>$I$158&amp;"."&amp;$M$158&amp;"."&amp;$Q$158</f>
        <v>..</v>
      </c>
      <c r="AQ158" s="1275" t="str">
        <f>$I$158&amp;"."&amp;$M$158&amp;"."&amp;$Q$158&amp;"."&amp;$U$158</f>
        <v>...</v>
      </c>
      <c r="AR158" s="1366">
        <v>0</v>
      </c>
    </row>
    <row s="1869" customFormat="1" customHeight="1" ht="17.25" hidden="1">
      <c r="A159" s="337"/>
      <c r="C159" s="336"/>
      <c r="D159" s="2151"/>
      <c r="E159" s="2159"/>
      <c r="F159" s="2162"/>
      <c r="G159" s="2159"/>
      <c r="H159" s="2165"/>
      <c r="I159" s="2167"/>
      <c r="J159" s="2169"/>
      <c r="K159" s="2154"/>
      <c r="L159" s="2154"/>
      <c r="M159" s="2154"/>
      <c r="N159" s="2156"/>
      <c r="O159" s="2154"/>
      <c r="P159" s="2154"/>
      <c r="Q159" s="2154"/>
      <c r="R159" s="2157"/>
      <c r="S159" s="2154"/>
      <c r="T159" s="1313"/>
      <c r="U159" s="1313"/>
      <c r="V159" s="1313"/>
      <c r="W159" s="1314"/>
      <c r="X159" s="1275"/>
      <c r="Y159" s="1275"/>
      <c r="Z159" s="1275"/>
      <c r="AA159" s="1275"/>
      <c r="AB159" s="1275"/>
      <c r="AC159" s="1275"/>
      <c r="AD159" s="1275"/>
      <c r="AE159" s="1275"/>
      <c r="AF159" s="1275"/>
      <c r="AG159" s="1275"/>
      <c r="AH159" s="1275"/>
      <c r="AI159" s="1275"/>
      <c r="AJ159" s="1275"/>
      <c r="AK159" s="1275"/>
      <c r="AL159" s="1275"/>
      <c r="AM159" s="1275"/>
      <c r="AN159" s="1275"/>
      <c r="AO159" s="1275"/>
      <c r="AP159" s="1275"/>
      <c r="AQ159" s="1275"/>
      <c r="AR159" s="1366">
        <v>0</v>
      </c>
    </row>
    <row s="1869" customFormat="1" customHeight="1" ht="17.25" hidden="1">
      <c r="A160" s="337"/>
      <c r="C160" s="336"/>
      <c r="D160" s="2152"/>
      <c r="E160" s="2160"/>
      <c r="F160" s="2162"/>
      <c r="G160" s="2160"/>
      <c r="H160" s="2165"/>
      <c r="I160" s="2167"/>
      <c r="J160" s="2170"/>
      <c r="K160" s="2154"/>
      <c r="L160" s="2154"/>
      <c r="M160" s="2154"/>
      <c r="N160" s="2157"/>
      <c r="O160" s="2154"/>
      <c r="P160" s="1460"/>
      <c r="Q160" s="1313"/>
      <c r="R160" s="1313"/>
      <c r="S160" s="345"/>
      <c r="T160" s="345"/>
      <c r="U160" s="345"/>
      <c r="V160" s="345"/>
      <c r="W160" s="1314"/>
      <c r="X160" s="1275"/>
      <c r="Y160" s="1275"/>
      <c r="Z160" s="1275"/>
      <c r="AA160" s="1275"/>
      <c r="AB160" s="1275"/>
      <c r="AC160" s="1275"/>
      <c r="AD160" s="1275"/>
      <c r="AE160" s="1275"/>
      <c r="AF160" s="1275"/>
      <c r="AG160" s="1275"/>
      <c r="AH160" s="1275"/>
      <c r="AI160" s="1275"/>
      <c r="AJ160" s="1275"/>
      <c r="AK160" s="1275"/>
      <c r="AL160" s="1275"/>
      <c r="AM160" s="1275"/>
      <c r="AN160" s="1275"/>
      <c r="AO160" s="1275"/>
      <c r="AP160" s="1275"/>
      <c r="AQ160" s="1275"/>
      <c r="AR160" s="1366">
        <v>0</v>
      </c>
    </row>
    <row s="1869" customFormat="1" customHeight="1" ht="17.25" hidden="1">
      <c r="A161" s="337"/>
      <c r="C161" s="336"/>
      <c r="D161" s="2152"/>
      <c r="E161" s="2160"/>
      <c r="F161" s="2162"/>
      <c r="G161" s="2160"/>
      <c r="H161" s="2165"/>
      <c r="I161" s="2167"/>
      <c r="J161" s="2170"/>
      <c r="K161" s="2154"/>
      <c r="L161" s="1313"/>
      <c r="M161" s="1313"/>
      <c r="N161" s="1313"/>
      <c r="O161" s="1313"/>
      <c r="P161" s="1313"/>
      <c r="Q161" s="1313"/>
      <c r="R161" s="1313"/>
      <c r="S161" s="345"/>
      <c r="T161" s="345"/>
      <c r="U161" s="345"/>
      <c r="V161" s="345"/>
      <c r="W161" s="1314"/>
      <c r="X161" s="1275"/>
      <c r="Y161" s="1275"/>
      <c r="Z161" s="1275"/>
      <c r="AA161" s="1275"/>
      <c r="AB161" s="1275"/>
      <c r="AC161" s="1275"/>
      <c r="AD161" s="1275"/>
      <c r="AE161" s="1275"/>
      <c r="AF161" s="1275"/>
      <c r="AG161" s="1275"/>
      <c r="AH161" s="1275"/>
      <c r="AI161" s="1275"/>
      <c r="AJ161" s="1275"/>
      <c r="AK161" s="1275"/>
      <c r="AL161" s="1275"/>
      <c r="AM161" s="1275"/>
      <c r="AN161" s="1275"/>
      <c r="AO161" s="1275"/>
      <c r="AP161" s="1275"/>
      <c r="AQ161" s="1275"/>
      <c r="AR161" s="1366">
        <v>0</v>
      </c>
    </row>
    <row s="1869" customFormat="1" customHeight="1" ht="17.25" hidden="1">
      <c r="A162" s="337"/>
      <c r="C162" s="336"/>
      <c r="D162" s="2152"/>
      <c r="E162" s="2160"/>
      <c r="F162" s="2163"/>
      <c r="G162" s="2160"/>
      <c r="H162" s="1315"/>
      <c r="I162" s="1316"/>
      <c r="J162" s="1316"/>
      <c r="K162" s="1316"/>
      <c r="L162" s="1316"/>
      <c r="M162" s="1316"/>
      <c r="N162" s="1316"/>
      <c r="O162" s="1316"/>
      <c r="P162" s="1316"/>
      <c r="Q162" s="1316"/>
      <c r="R162" s="1316"/>
      <c r="S162" s="1317"/>
      <c r="T162" s="1317"/>
      <c r="U162" s="1317"/>
      <c r="V162" s="1317"/>
      <c r="W162" s="1318"/>
      <c r="X162" s="1275"/>
      <c r="Y162" s="1275"/>
      <c r="Z162" s="1275"/>
      <c r="AA162" s="1275"/>
      <c r="AB162" s="1275"/>
      <c r="AC162" s="1275"/>
      <c r="AD162" s="1275"/>
      <c r="AE162" s="1275"/>
      <c r="AF162" s="1275"/>
      <c r="AG162" s="1275"/>
      <c r="AH162" s="1275"/>
      <c r="AI162" s="1275"/>
      <c r="AJ162" s="1275"/>
      <c r="AK162" s="1275"/>
      <c r="AL162" s="1275"/>
      <c r="AM162" s="1275"/>
      <c r="AN162" s="1275"/>
      <c r="AO162" s="1275"/>
      <c r="AP162" s="1275"/>
      <c r="AQ162" s="1275"/>
      <c r="AR162" s="1366">
        <v>0</v>
      </c>
    </row>
    <row s="1869" customFormat="1" customHeight="1" ht="17.25" hidden="1">
      <c r="A163" s="337"/>
      <c r="C163" s="225"/>
      <c r="D163" s="2151">
        <v>4</v>
      </c>
      <c r="E163" s="2159" t="s">
        <v>392</v>
      </c>
      <c r="F163" s="2161" t="s">
        <v>19</v>
      </c>
      <c r="G163" s="2159"/>
      <c r="H163" s="2164"/>
      <c r="I163" s="2166"/>
      <c r="J163" s="2168"/>
      <c r="K163" s="2153"/>
      <c r="L163" s="2153"/>
      <c r="M163" s="2153"/>
      <c r="N163" s="2155"/>
      <c r="O163" s="2153"/>
      <c r="P163" s="2153"/>
      <c r="Q163" s="2153"/>
      <c r="R163" s="2158"/>
      <c r="S163" s="2153"/>
      <c r="T163" s="1459"/>
      <c r="U163" s="1459"/>
      <c r="V163" s="1461"/>
      <c r="W163" s="1312"/>
      <c r="X163" s="1283"/>
      <c r="Y163" s="1283"/>
      <c r="Z163" s="1283"/>
      <c r="AA163" s="1283"/>
      <c r="AB163" s="1283"/>
      <c r="AC163" s="1283" t="s">
        <v>393</v>
      </c>
      <c r="AD163" s="1283" t="s">
        <v>394</v>
      </c>
      <c r="AE163" s="1283" t="s">
        <v>395</v>
      </c>
      <c r="AF163" s="1283" t="s">
        <v>396</v>
      </c>
      <c r="AG163" s="1283"/>
      <c r="AH163" s="1283" t="str">
        <f>IF($E$163=0,"",$E$163)</f>
        <v>Тариф на подвоз воды</v>
      </c>
      <c r="AI163" s="1283" t="str">
        <f>IF($G$163=0,"",$G$163)</f>
        <v/>
      </c>
      <c r="AJ163" s="1283" t="str">
        <f>IF($J$163=0,"",$J$163)</f>
        <v/>
      </c>
      <c r="AK163" s="1283" t="str">
        <f>IF($K$163="нет","без дифференциации",IF($N$163=0,"",$N$163))</f>
        <v/>
      </c>
      <c r="AL163" s="1283" t="str">
        <f>IF($O$163="нет","без дифференциации",IF($R$163=0,"",$R$163))</f>
        <v/>
      </c>
      <c r="AM163" s="1283" t="str">
        <f>IF($S$163="нет","без дифференциации",IF($V$163=0,"",$V$163))</f>
        <v/>
      </c>
      <c r="AN163" s="1788">
        <f>$I$163</f>
        <v>0</v>
      </c>
      <c r="AO163" s="1283" t="str">
        <f>$I$163&amp;"."&amp;$M$163</f>
        <v>.</v>
      </c>
      <c r="AP163" s="1275" t="str">
        <f>$I$163&amp;"."&amp;$M$163&amp;"."&amp;$Q$163</f>
        <v>..</v>
      </c>
      <c r="AQ163" s="1275" t="str">
        <f>$I$163&amp;"."&amp;$M$163&amp;"."&amp;$Q$163&amp;"."&amp;$U$163</f>
        <v>...</v>
      </c>
      <c r="AR163" s="1366">
        <v>0</v>
      </c>
    </row>
    <row s="1869" customFormat="1" customHeight="1" ht="17.25" hidden="1">
      <c r="A164" s="337"/>
      <c r="C164" s="336"/>
      <c r="D164" s="2151"/>
      <c r="E164" s="2159"/>
      <c r="F164" s="2162"/>
      <c r="G164" s="2159"/>
      <c r="H164" s="2165"/>
      <c r="I164" s="2167"/>
      <c r="J164" s="2169"/>
      <c r="K164" s="2154"/>
      <c r="L164" s="2154"/>
      <c r="M164" s="2154"/>
      <c r="N164" s="2156"/>
      <c r="O164" s="2154"/>
      <c r="P164" s="2154"/>
      <c r="Q164" s="2154"/>
      <c r="R164" s="2157"/>
      <c r="S164" s="2154"/>
      <c r="T164" s="1313"/>
      <c r="U164" s="1313"/>
      <c r="V164" s="1313"/>
      <c r="W164" s="1314"/>
      <c r="X164" s="1275"/>
      <c r="Y164" s="1275"/>
      <c r="Z164" s="1275"/>
      <c r="AA164" s="1275"/>
      <c r="AB164" s="1275"/>
      <c r="AC164" s="1275"/>
      <c r="AD164" s="1275"/>
      <c r="AE164" s="1275"/>
      <c r="AF164" s="1275"/>
      <c r="AG164" s="1275"/>
      <c r="AH164" s="1275"/>
      <c r="AI164" s="1275"/>
      <c r="AJ164" s="1275"/>
      <c r="AK164" s="1275"/>
      <c r="AL164" s="1275"/>
      <c r="AM164" s="1275"/>
      <c r="AN164" s="1275"/>
      <c r="AO164" s="1275"/>
      <c r="AP164" s="1275"/>
      <c r="AQ164" s="1275"/>
      <c r="AR164" s="1366">
        <v>0</v>
      </c>
    </row>
    <row s="1869" customFormat="1" customHeight="1" ht="17.25" hidden="1">
      <c r="A165" s="337"/>
      <c r="C165" s="336"/>
      <c r="D165" s="2152"/>
      <c r="E165" s="2160"/>
      <c r="F165" s="2162"/>
      <c r="G165" s="2160"/>
      <c r="H165" s="2165"/>
      <c r="I165" s="2167"/>
      <c r="J165" s="2170"/>
      <c r="K165" s="2154"/>
      <c r="L165" s="2154"/>
      <c r="M165" s="2154"/>
      <c r="N165" s="2157"/>
      <c r="O165" s="2154"/>
      <c r="P165" s="1460"/>
      <c r="Q165" s="1313"/>
      <c r="R165" s="1313"/>
      <c r="S165" s="345"/>
      <c r="T165" s="345"/>
      <c r="U165" s="345"/>
      <c r="V165" s="345"/>
      <c r="W165" s="1314"/>
      <c r="X165" s="1275"/>
      <c r="Y165" s="1275"/>
      <c r="Z165" s="1275"/>
      <c r="AA165" s="1275"/>
      <c r="AB165" s="1275"/>
      <c r="AC165" s="1275"/>
      <c r="AD165" s="1275"/>
      <c r="AE165" s="1275"/>
      <c r="AF165" s="1275"/>
      <c r="AG165" s="1275"/>
      <c r="AH165" s="1275"/>
      <c r="AI165" s="1275"/>
      <c r="AJ165" s="1275"/>
      <c r="AK165" s="1275"/>
      <c r="AL165" s="1275"/>
      <c r="AM165" s="1275"/>
      <c r="AN165" s="1275"/>
      <c r="AO165" s="1275"/>
      <c r="AP165" s="1275"/>
      <c r="AQ165" s="1275"/>
      <c r="AR165" s="1366">
        <v>0</v>
      </c>
    </row>
    <row s="1869" customFormat="1" customHeight="1" ht="17.25" hidden="1">
      <c r="A166" s="337"/>
      <c r="C166" s="336"/>
      <c r="D166" s="2152"/>
      <c r="E166" s="2160"/>
      <c r="F166" s="2162"/>
      <c r="G166" s="2160"/>
      <c r="H166" s="2165"/>
      <c r="I166" s="2167"/>
      <c r="J166" s="2170"/>
      <c r="K166" s="2154"/>
      <c r="L166" s="1313"/>
      <c r="M166" s="1313"/>
      <c r="N166" s="1313"/>
      <c r="O166" s="1313"/>
      <c r="P166" s="1313"/>
      <c r="Q166" s="1313"/>
      <c r="R166" s="1313"/>
      <c r="S166" s="345"/>
      <c r="T166" s="345"/>
      <c r="U166" s="345"/>
      <c r="V166" s="345"/>
      <c r="W166" s="1314"/>
      <c r="X166" s="1275"/>
      <c r="Y166" s="1275"/>
      <c r="Z166" s="1275"/>
      <c r="AA166" s="1275"/>
      <c r="AB166" s="1275"/>
      <c r="AC166" s="1275"/>
      <c r="AD166" s="1275"/>
      <c r="AE166" s="1275"/>
      <c r="AF166" s="1275"/>
      <c r="AG166" s="1275"/>
      <c r="AH166" s="1275"/>
      <c r="AI166" s="1275"/>
      <c r="AJ166" s="1275"/>
      <c r="AK166" s="1275"/>
      <c r="AL166" s="1275"/>
      <c r="AM166" s="1275"/>
      <c r="AN166" s="1275"/>
      <c r="AO166" s="1275"/>
      <c r="AP166" s="1275"/>
      <c r="AQ166" s="1275"/>
      <c r="AR166" s="1366">
        <v>0</v>
      </c>
    </row>
    <row s="1869" customFormat="1" customHeight="1" ht="17.25" hidden="1">
      <c r="A167" s="337"/>
      <c r="C167" s="336"/>
      <c r="D167" s="2152"/>
      <c r="E167" s="2160"/>
      <c r="F167" s="2163"/>
      <c r="G167" s="2160"/>
      <c r="H167" s="1315"/>
      <c r="I167" s="1316"/>
      <c r="J167" s="1316"/>
      <c r="K167" s="1316"/>
      <c r="L167" s="1316"/>
      <c r="M167" s="1316"/>
      <c r="N167" s="1316"/>
      <c r="O167" s="1316"/>
      <c r="P167" s="1316"/>
      <c r="Q167" s="1316"/>
      <c r="R167" s="1316"/>
      <c r="S167" s="1317"/>
      <c r="T167" s="1317"/>
      <c r="U167" s="1317"/>
      <c r="V167" s="1317"/>
      <c r="W167" s="1318"/>
      <c r="X167" s="1275"/>
      <c r="Y167" s="1275"/>
      <c r="Z167" s="1275"/>
      <c r="AA167" s="1275"/>
      <c r="AB167" s="1275"/>
      <c r="AC167" s="1275"/>
      <c r="AD167" s="1275"/>
      <c r="AE167" s="1275"/>
      <c r="AF167" s="1275"/>
      <c r="AG167" s="1275"/>
      <c r="AH167" s="1275"/>
      <c r="AI167" s="1275"/>
      <c r="AJ167" s="1275"/>
      <c r="AK167" s="1275"/>
      <c r="AL167" s="1275"/>
      <c r="AM167" s="1275"/>
      <c r="AN167" s="1275"/>
      <c r="AO167" s="1275"/>
      <c r="AP167" s="1275"/>
      <c r="AQ167" s="1275"/>
      <c r="AR167" s="1366">
        <v>0</v>
      </c>
    </row>
    <row s="1869" customFormat="1" customHeight="1" ht="17.25" hidden="1">
      <c r="A168" s="337"/>
      <c r="C168" s="225"/>
      <c r="D168" s="2151">
        <v>5</v>
      </c>
      <c r="E168" s="2159" t="s">
        <v>397</v>
      </c>
      <c r="F168" s="2161" t="s">
        <v>19</v>
      </c>
      <c r="G168" s="2159"/>
      <c r="H168" s="2164"/>
      <c r="I168" s="2166"/>
      <c r="J168" s="2168"/>
      <c r="K168" s="2153"/>
      <c r="L168" s="2153"/>
      <c r="M168" s="2153"/>
      <c r="N168" s="2155"/>
      <c r="O168" s="2153"/>
      <c r="P168" s="2153"/>
      <c r="Q168" s="2153"/>
      <c r="R168" s="2158"/>
      <c r="S168" s="2153"/>
      <c r="T168" s="1959"/>
      <c r="U168" s="1959"/>
      <c r="V168" s="1961"/>
      <c r="W168" s="1312"/>
      <c r="X168" s="1283"/>
      <c r="Y168" s="1283"/>
      <c r="Z168" s="1283"/>
      <c r="AA168" s="1283"/>
      <c r="AB168" s="1283"/>
      <c r="AC168" s="1283" t="s">
        <v>398</v>
      </c>
      <c r="AD168" s="1283" t="s">
        <v>399</v>
      </c>
      <c r="AE168" s="1283" t="s">
        <v>400</v>
      </c>
      <c r="AF168" s="1283" t="s">
        <v>401</v>
      </c>
      <c r="AG168" s="1283"/>
      <c r="AH168" s="1283" t="str">
        <f>IF($E$168=0,"",$E$168)</f>
        <v>Тариф на подключение (технологическое присоединение) к централизованной системе холодного водоснабжения</v>
      </c>
      <c r="AI168" s="1283" t="str">
        <f>IF($G$168=0,"",$G$168)</f>
        <v/>
      </c>
      <c r="AJ168" s="1283" t="str">
        <f>IF($J$168=0,"",$J$168)</f>
        <v/>
      </c>
      <c r="AK168" s="1283" t="str">
        <f>IF($K$168="нет","без дифференциации",IF($N$168=0,"",$N$168))</f>
        <v/>
      </c>
      <c r="AL168" s="1283" t="str">
        <f>IF($O$168="нет","без дифференциации",IF($R$168=0,"",$R$168))</f>
        <v/>
      </c>
      <c r="AM168" s="1283" t="str">
        <f>IF($S$168="нет","без дифференциации",IF($V$168=0,"",$V$168))</f>
        <v/>
      </c>
      <c r="AN168" s="1788">
        <f>$I$168</f>
        <v>0</v>
      </c>
      <c r="AO168" s="1283" t="str">
        <f>$I$168&amp;"."&amp;$M$168</f>
        <v>.</v>
      </c>
      <c r="AP168" s="1282" t="str">
        <f>$I$168&amp;"."&amp;$M$168&amp;"."&amp;$Q$168</f>
        <v>..</v>
      </c>
      <c r="AQ168" s="1282" t="str">
        <f>$I$168&amp;"."&amp;$M$168&amp;"."&amp;$Q$168&amp;"."&amp;$U$168</f>
        <v>...</v>
      </c>
      <c r="AR168" s="1483">
        <v>0</v>
      </c>
    </row>
    <row s="1869" customFormat="1" customHeight="1" ht="17.25" hidden="1">
      <c r="A169" s="337"/>
      <c r="C169" s="336"/>
      <c r="D169" s="2151"/>
      <c r="E169" s="2159"/>
      <c r="F169" s="2162"/>
      <c r="G169" s="2159"/>
      <c r="H169" s="2165"/>
      <c r="I169" s="2167"/>
      <c r="J169" s="2169"/>
      <c r="K169" s="2154"/>
      <c r="L169" s="2154"/>
      <c r="M169" s="2154"/>
      <c r="N169" s="2156"/>
      <c r="O169" s="2154"/>
      <c r="P169" s="2154"/>
      <c r="Q169" s="2154"/>
      <c r="R169" s="2157"/>
      <c r="S169" s="2154"/>
      <c r="T169" s="1964"/>
      <c r="U169" s="1964"/>
      <c r="V169" s="1964"/>
      <c r="W169" s="1965"/>
      <c r="X169" s="1282"/>
      <c r="Y169" s="1282"/>
      <c r="Z169" s="1282"/>
      <c r="AA169" s="1282"/>
      <c r="AB169" s="1282"/>
      <c r="AC169" s="1282"/>
      <c r="AD169" s="1282"/>
      <c r="AE169" s="1282"/>
      <c r="AF169" s="1282"/>
      <c r="AG169" s="1282"/>
      <c r="AH169" s="1282"/>
      <c r="AI169" s="1282"/>
      <c r="AJ169" s="1282"/>
      <c r="AK169" s="1282"/>
      <c r="AL169" s="1282"/>
      <c r="AM169" s="1282"/>
      <c r="AN169" s="1282"/>
      <c r="AO169" s="1282"/>
      <c r="AP169" s="1282"/>
      <c r="AQ169" s="1282"/>
      <c r="AR169" s="1483">
        <v>0</v>
      </c>
    </row>
    <row s="1869" customFormat="1" customHeight="1" ht="17.25" hidden="1">
      <c r="A170" s="337"/>
      <c r="C170" s="336"/>
      <c r="D170" s="2152"/>
      <c r="E170" s="2160"/>
      <c r="F170" s="2162"/>
      <c r="G170" s="2160"/>
      <c r="H170" s="2165"/>
      <c r="I170" s="2167"/>
      <c r="J170" s="2170"/>
      <c r="K170" s="2154"/>
      <c r="L170" s="2154"/>
      <c r="M170" s="2154"/>
      <c r="N170" s="2157"/>
      <c r="O170" s="2154"/>
      <c r="P170" s="1960"/>
      <c r="Q170" s="1964"/>
      <c r="R170" s="1964"/>
      <c r="S170" s="345"/>
      <c r="T170" s="345"/>
      <c r="U170" s="345"/>
      <c r="V170" s="345"/>
      <c r="W170" s="1965"/>
      <c r="X170" s="1282"/>
      <c r="Y170" s="1282"/>
      <c r="Z170" s="1282"/>
      <c r="AA170" s="1282"/>
      <c r="AB170" s="1282"/>
      <c r="AC170" s="1282"/>
      <c r="AD170" s="1282"/>
      <c r="AE170" s="1282"/>
      <c r="AF170" s="1282"/>
      <c r="AG170" s="1282"/>
      <c r="AH170" s="1282"/>
      <c r="AI170" s="1282"/>
      <c r="AJ170" s="1282"/>
      <c r="AK170" s="1282"/>
      <c r="AL170" s="1282"/>
      <c r="AM170" s="1282"/>
      <c r="AN170" s="1282"/>
      <c r="AO170" s="1282"/>
      <c r="AP170" s="1282"/>
      <c r="AQ170" s="1282"/>
      <c r="AR170" s="1483">
        <v>0</v>
      </c>
    </row>
    <row s="1869" customFormat="1" customHeight="1" ht="17.25" hidden="1">
      <c r="A171" s="337"/>
      <c r="C171" s="336"/>
      <c r="D171" s="2152"/>
      <c r="E171" s="2160"/>
      <c r="F171" s="2162"/>
      <c r="G171" s="2160"/>
      <c r="H171" s="2165"/>
      <c r="I171" s="2167"/>
      <c r="J171" s="2170"/>
      <c r="K171" s="2154"/>
      <c r="L171" s="1964"/>
      <c r="M171" s="1964"/>
      <c r="N171" s="1964"/>
      <c r="O171" s="1964"/>
      <c r="P171" s="1964"/>
      <c r="Q171" s="1964"/>
      <c r="R171" s="1964"/>
      <c r="S171" s="345"/>
      <c r="T171" s="345"/>
      <c r="U171" s="345"/>
      <c r="V171" s="345"/>
      <c r="W171" s="1965"/>
      <c r="X171" s="1282"/>
      <c r="Y171" s="1282"/>
      <c r="Z171" s="1282"/>
      <c r="AA171" s="1282"/>
      <c r="AB171" s="1282"/>
      <c r="AC171" s="1282"/>
      <c r="AD171" s="1282"/>
      <c r="AE171" s="1282"/>
      <c r="AF171" s="1282"/>
      <c r="AG171" s="1282"/>
      <c r="AH171" s="1282"/>
      <c r="AI171" s="1282"/>
      <c r="AJ171" s="1282"/>
      <c r="AK171" s="1282"/>
      <c r="AL171" s="1282"/>
      <c r="AM171" s="1282"/>
      <c r="AN171" s="1282"/>
      <c r="AO171" s="1282"/>
      <c r="AP171" s="1282"/>
      <c r="AQ171" s="1282"/>
      <c r="AR171" s="1483">
        <v>0</v>
      </c>
    </row>
    <row s="1869" customFormat="1" customHeight="1" ht="17.25" hidden="1">
      <c r="A172" s="337"/>
      <c r="C172" s="336"/>
      <c r="D172" s="2152"/>
      <c r="E172" s="2160"/>
      <c r="F172" s="2163"/>
      <c r="G172" s="2160"/>
      <c r="H172" s="1315"/>
      <c r="I172" s="1962"/>
      <c r="J172" s="1962"/>
      <c r="K172" s="1962"/>
      <c r="L172" s="1962"/>
      <c r="M172" s="1962"/>
      <c r="N172" s="1962"/>
      <c r="O172" s="1962"/>
      <c r="P172" s="1962"/>
      <c r="Q172" s="1962"/>
      <c r="R172" s="1962"/>
      <c r="S172" s="1317"/>
      <c r="T172" s="1317"/>
      <c r="U172" s="1317"/>
      <c r="V172" s="1317"/>
      <c r="W172" s="1963"/>
      <c r="X172" s="1282"/>
      <c r="Y172" s="1282"/>
      <c r="Z172" s="1282"/>
      <c r="AA172" s="1282"/>
      <c r="AB172" s="1282"/>
      <c r="AC172" s="1282"/>
      <c r="AD172" s="1282"/>
      <c r="AE172" s="1282"/>
      <c r="AF172" s="1282"/>
      <c r="AG172" s="1282"/>
      <c r="AH172" s="1282"/>
      <c r="AI172" s="1282"/>
      <c r="AJ172" s="1282"/>
      <c r="AK172" s="1282"/>
      <c r="AL172" s="1282"/>
      <c r="AM172" s="1282"/>
      <c r="AN172" s="1282"/>
      <c r="AO172" s="1282"/>
      <c r="AP172" s="1282"/>
      <c r="AQ172" s="1282"/>
      <c r="AR172" s="1483">
        <v>0</v>
      </c>
    </row>
    <row s="1869" customFormat="1" customHeight="1" ht="11.25" hidden="1">
      <c r="A173" s="293"/>
      <c r="B173" s="293"/>
      <c r="Y173" s="1275"/>
      <c r="Z173" s="1275"/>
      <c r="AA173" s="1275"/>
      <c r="AB173" s="1275"/>
      <c r="AC173" s="1275"/>
      <c r="AD173" s="1275"/>
      <c r="AE173" s="1275"/>
      <c r="AF173" s="1275"/>
      <c r="AG173" s="1275"/>
      <c r="AH173" s="1275"/>
      <c r="AI173" s="1275"/>
      <c r="AJ173" s="1275"/>
      <c r="AK173" s="1275"/>
      <c r="AL173" s="1275"/>
      <c r="AM173" s="1275"/>
      <c r="AN173" s="1275"/>
      <c r="AO173" s="1275"/>
      <c r="AP173" s="1275"/>
      <c r="AQ173" s="1275"/>
      <c r="AR173" s="1483">
        <v>0</v>
      </c>
    </row>
    <row s="1869" customFormat="1" customHeight="1" ht="17.25" hidden="1">
      <c r="A174" s="337"/>
      <c r="C174" s="225"/>
      <c r="D174" s="2151">
        <v>1</v>
      </c>
      <c r="E174" s="2159" t="s">
        <v>402</v>
      </c>
      <c r="F174" s="2161" t="s">
        <v>19</v>
      </c>
      <c r="G174" s="2159"/>
      <c r="H174" s="2164"/>
      <c r="I174" s="2166"/>
      <c r="J174" s="2168"/>
      <c r="K174" s="2153"/>
      <c r="L174" s="2153"/>
      <c r="M174" s="2153"/>
      <c r="N174" s="2155"/>
      <c r="O174" s="2153"/>
      <c r="P174" s="2153"/>
      <c r="Q174" s="2153"/>
      <c r="R174" s="2158"/>
      <c r="S174" s="2153"/>
      <c r="T174" s="1486"/>
      <c r="U174" s="1486"/>
      <c r="V174" s="1488"/>
      <c r="W174" s="1312"/>
      <c r="Y174" s="1283"/>
      <c r="Z174" s="1283"/>
      <c r="AA174" s="1283"/>
      <c r="AB174" s="1283"/>
      <c r="AC174" s="1283" t="s">
        <v>403</v>
      </c>
      <c r="AD174" s="1283" t="s">
        <v>404</v>
      </c>
      <c r="AE174" s="1283" t="s">
        <v>405</v>
      </c>
      <c r="AF174" s="1283" t="s">
        <v>406</v>
      </c>
      <c r="AG174" s="1283"/>
      <c r="AH174" s="1283" t="str">
        <f>IF($E$174=0,"",$E$174)</f>
        <v>Тариф на горячую воду (горячее водоснабжение)</v>
      </c>
      <c r="AI174" s="1283" t="str">
        <f>IF($G$174=0,"",$G$174)</f>
        <v/>
      </c>
      <c r="AJ174" s="1283" t="str">
        <f>IF($J$174=0,"",$J$174)</f>
        <v/>
      </c>
      <c r="AK174" s="1283" t="str">
        <f>IF($K$174="нет","без дифференциации",IF($N$174=0,"",$N$174))</f>
        <v/>
      </c>
      <c r="AL174" s="1283" t="str">
        <f>IF($O$174="нет","без дифференциации",IF($R$174=0,"",$R$174))</f>
        <v/>
      </c>
      <c r="AM174" s="1283" t="str">
        <f>IF($S$174="нет","без дифференциации",IF($V$174=0,"",$V$174))</f>
        <v/>
      </c>
      <c r="AN174" s="1283">
        <f>$I$174</f>
        <v>0</v>
      </c>
      <c r="AO174" s="1283" t="str">
        <f>$I$174&amp;"."&amp;$M$174</f>
        <v>.</v>
      </c>
      <c r="AP174" s="1283" t="str">
        <f>$I$174&amp;"."&amp;$M$174&amp;"."&amp;$Q$174</f>
        <v>..</v>
      </c>
      <c r="AQ174" s="1283" t="str">
        <f>$I$174&amp;"."&amp;$M$174&amp;"."&amp;$Q$174&amp;"."&amp;$U$174</f>
        <v>...</v>
      </c>
      <c r="AR174" s="1483">
        <v>0</v>
      </c>
    </row>
    <row s="1869" customFormat="1" customHeight="1" ht="17.25" hidden="1">
      <c r="A175" s="337"/>
      <c r="C175" s="336"/>
      <c r="D175" s="2151"/>
      <c r="E175" s="2159"/>
      <c r="F175" s="2162"/>
      <c r="G175" s="2159"/>
      <c r="H175" s="2165"/>
      <c r="I175" s="2167"/>
      <c r="J175" s="2169"/>
      <c r="K175" s="2154"/>
      <c r="L175" s="2154"/>
      <c r="M175" s="2154"/>
      <c r="N175" s="2156"/>
      <c r="O175" s="2154"/>
      <c r="P175" s="2154"/>
      <c r="Q175" s="2154"/>
      <c r="R175" s="2157"/>
      <c r="S175" s="2154"/>
      <c r="T175" s="1313"/>
      <c r="U175" s="1313"/>
      <c r="V175" s="1313"/>
      <c r="W175" s="1314"/>
      <c r="Y175" s="1275"/>
      <c r="Z175" s="1275"/>
      <c r="AA175" s="1275"/>
      <c r="AB175" s="1275"/>
      <c r="AC175" s="1275"/>
      <c r="AD175" s="1275"/>
      <c r="AE175" s="1275"/>
      <c r="AF175" s="1275"/>
      <c r="AG175" s="1275"/>
      <c r="AH175" s="1275"/>
      <c r="AI175" s="1275"/>
      <c r="AJ175" s="1275"/>
      <c r="AK175" s="1275"/>
      <c r="AL175" s="1275"/>
      <c r="AM175" s="1275"/>
      <c r="AN175" s="1275"/>
      <c r="AO175" s="1275"/>
      <c r="AP175" s="1275"/>
      <c r="AQ175" s="1275"/>
      <c r="AR175" s="1483">
        <v>0</v>
      </c>
    </row>
    <row s="1869" customFormat="1" customHeight="1" ht="17.25" hidden="1">
      <c r="A176" s="337"/>
      <c r="C176" s="225"/>
      <c r="D176" s="2151"/>
      <c r="E176" s="2159"/>
      <c r="F176" s="2162"/>
      <c r="G176" s="2159"/>
      <c r="H176" s="2165"/>
      <c r="I176" s="2167"/>
      <c r="J176" s="2170"/>
      <c r="K176" s="2154"/>
      <c r="L176" s="2154"/>
      <c r="M176" s="2154"/>
      <c r="N176" s="2157"/>
      <c r="O176" s="2154"/>
      <c r="P176" s="1487"/>
      <c r="Q176" s="1313"/>
      <c r="R176" s="1313"/>
      <c r="S176" s="345"/>
      <c r="T176" s="345"/>
      <c r="U176" s="345"/>
      <c r="V176" s="345"/>
      <c r="W176" s="1314"/>
      <c r="Y176" s="1283"/>
      <c r="Z176" s="1283"/>
      <c r="AA176" s="1283"/>
      <c r="AB176" s="1283"/>
      <c r="AC176" s="1283"/>
      <c r="AD176" s="1283"/>
      <c r="AE176" s="1283"/>
      <c r="AF176" s="1283"/>
      <c r="AG176" s="1283"/>
      <c r="AH176" s="1283"/>
      <c r="AI176" s="1283"/>
      <c r="AJ176" s="1283"/>
      <c r="AK176" s="1283"/>
      <c r="AL176" s="1283"/>
      <c r="AM176" s="1283"/>
      <c r="AN176" s="1283"/>
      <c r="AO176" s="1283"/>
      <c r="AP176" s="1283"/>
      <c r="AQ176" s="1283"/>
      <c r="AR176" s="1483">
        <v>0</v>
      </c>
    </row>
    <row s="1869" customFormat="1" customHeight="1" ht="17.25" hidden="1">
      <c r="A177" s="337"/>
      <c r="C177" s="336"/>
      <c r="D177" s="2151"/>
      <c r="E177" s="2159"/>
      <c r="F177" s="2162"/>
      <c r="G177" s="2159"/>
      <c r="H177" s="2165"/>
      <c r="I177" s="2167"/>
      <c r="J177" s="2170"/>
      <c r="K177" s="2154"/>
      <c r="L177" s="1313"/>
      <c r="M177" s="1313"/>
      <c r="N177" s="1313"/>
      <c r="O177" s="1313"/>
      <c r="P177" s="1313"/>
      <c r="Q177" s="1313"/>
      <c r="R177" s="1313"/>
      <c r="S177" s="345"/>
      <c r="T177" s="345"/>
      <c r="U177" s="345"/>
      <c r="V177" s="345"/>
      <c r="W177" s="1314"/>
      <c r="Y177" s="1275"/>
      <c r="Z177" s="1275"/>
      <c r="AA177" s="1275"/>
      <c r="AB177" s="1275"/>
      <c r="AC177" s="1275"/>
      <c r="AD177" s="1275"/>
      <c r="AE177" s="1275"/>
      <c r="AF177" s="1275"/>
      <c r="AG177" s="1275"/>
      <c r="AH177" s="1275"/>
      <c r="AI177" s="1275"/>
      <c r="AJ177" s="1275"/>
      <c r="AK177" s="1275"/>
      <c r="AL177" s="1275"/>
      <c r="AM177" s="1275"/>
      <c r="AN177" s="1275"/>
      <c r="AO177" s="1275"/>
      <c r="AP177" s="1275"/>
      <c r="AQ177" s="1275"/>
      <c r="AR177" s="1483">
        <v>0</v>
      </c>
    </row>
    <row s="1869" customFormat="1" customHeight="1" ht="17.25" hidden="1">
      <c r="A178" s="337"/>
      <c r="C178" s="336"/>
      <c r="D178" s="2152"/>
      <c r="E178" s="2160"/>
      <c r="F178" s="2163"/>
      <c r="G178" s="2160"/>
      <c r="H178" s="1315"/>
      <c r="I178" s="1316"/>
      <c r="J178" s="1316"/>
      <c r="K178" s="1316"/>
      <c r="L178" s="1316"/>
      <c r="M178" s="1316"/>
      <c r="N178" s="1316"/>
      <c r="O178" s="1316"/>
      <c r="P178" s="1316"/>
      <c r="Q178" s="1316"/>
      <c r="R178" s="1316"/>
      <c r="S178" s="1317"/>
      <c r="T178" s="1317"/>
      <c r="U178" s="1317"/>
      <c r="V178" s="1317"/>
      <c r="W178" s="1318"/>
      <c r="Y178" s="1275"/>
      <c r="Z178" s="1275"/>
      <c r="AA178" s="1275"/>
      <c r="AB178" s="1275"/>
      <c r="AC178" s="1275"/>
      <c r="AD178" s="1275"/>
      <c r="AE178" s="1275"/>
      <c r="AF178" s="1275"/>
      <c r="AG178" s="1275"/>
      <c r="AH178" s="1275"/>
      <c r="AI178" s="1275"/>
      <c r="AJ178" s="1275"/>
      <c r="AK178" s="1275"/>
      <c r="AL178" s="1275"/>
      <c r="AM178" s="1275"/>
      <c r="AN178" s="1275"/>
      <c r="AO178" s="1275"/>
      <c r="AP178" s="1275"/>
      <c r="AQ178" s="1275"/>
      <c r="AR178" s="1483">
        <v>0</v>
      </c>
    </row>
    <row s="1869" customFormat="1" customHeight="1" ht="17.25" hidden="1">
      <c r="A179" s="337"/>
      <c r="C179" s="225"/>
      <c r="D179" s="2151">
        <v>2</v>
      </c>
      <c r="E179" s="2159" t="s">
        <v>407</v>
      </c>
      <c r="F179" s="2161" t="s">
        <v>19</v>
      </c>
      <c r="G179" s="2159"/>
      <c r="H179" s="2164"/>
      <c r="I179" s="2166"/>
      <c r="J179" s="2168"/>
      <c r="K179" s="2153"/>
      <c r="L179" s="2153"/>
      <c r="M179" s="2153"/>
      <c r="N179" s="2155"/>
      <c r="O179" s="2153"/>
      <c r="P179" s="2153"/>
      <c r="Q179" s="2153"/>
      <c r="R179" s="2158"/>
      <c r="S179" s="2153"/>
      <c r="T179" s="1486"/>
      <c r="U179" s="1486"/>
      <c r="V179" s="1488"/>
      <c r="W179" s="1312"/>
      <c r="X179" s="1283"/>
      <c r="Y179" s="1283"/>
      <c r="Z179" s="1283"/>
      <c r="AA179" s="1283"/>
      <c r="AB179" s="1283"/>
      <c r="AC179" s="1283" t="s">
        <v>408</v>
      </c>
      <c r="AD179" s="1283" t="s">
        <v>409</v>
      </c>
      <c r="AE179" s="1283" t="s">
        <v>410</v>
      </c>
      <c r="AF179" s="1283" t="s">
        <v>411</v>
      </c>
      <c r="AG179" s="1283"/>
      <c r="AH179" s="1283" t="str">
        <f>IF($E$179=0,"",$E$179)</f>
        <v>Тариф на транспортировку горячей воды</v>
      </c>
      <c r="AI179" s="1283" t="str">
        <f>IF($G$179=0,"",$G$179)</f>
        <v/>
      </c>
      <c r="AJ179" s="1283" t="str">
        <f>IF($J$179=0,"",$J$179)</f>
        <v/>
      </c>
      <c r="AK179" s="1283" t="str">
        <f>IF($K$179="нет","без дифференциации",IF($N$179=0,"",$N$179))</f>
        <v/>
      </c>
      <c r="AL179" s="1283" t="str">
        <f>IF($O$179="нет","без дифференциации",IF($R$179=0,"",$R$179))</f>
        <v/>
      </c>
      <c r="AM179" s="1283" t="str">
        <f>IF($S$179="нет","без дифференциации",IF($V$179=0,"",$V$179))</f>
        <v/>
      </c>
      <c r="AN179" s="1788">
        <f>$I$179</f>
        <v>0</v>
      </c>
      <c r="AO179" s="1283" t="str">
        <f>$I$179&amp;"."&amp;$M$179</f>
        <v>.</v>
      </c>
      <c r="AP179" s="1275" t="str">
        <f>$I$179&amp;"."&amp;$M$179&amp;"."&amp;$Q$179</f>
        <v>..</v>
      </c>
      <c r="AQ179" s="1275" t="str">
        <f>$I$179&amp;"."&amp;$M$179&amp;"."&amp;$Q$179&amp;"."&amp;$U$179</f>
        <v>...</v>
      </c>
      <c r="AR179" s="1483">
        <v>0</v>
      </c>
    </row>
    <row s="1869" customFormat="1" customHeight="1" ht="17.25" hidden="1">
      <c r="A180" s="337"/>
      <c r="C180" s="336"/>
      <c r="D180" s="2151"/>
      <c r="E180" s="2159"/>
      <c r="F180" s="2162"/>
      <c r="G180" s="2159"/>
      <c r="H180" s="2165"/>
      <c r="I180" s="2167"/>
      <c r="J180" s="2169"/>
      <c r="K180" s="2154"/>
      <c r="L180" s="2154"/>
      <c r="M180" s="2154"/>
      <c r="N180" s="2156"/>
      <c r="O180" s="2154"/>
      <c r="P180" s="2154"/>
      <c r="Q180" s="2154"/>
      <c r="R180" s="2157"/>
      <c r="S180" s="2154"/>
      <c r="T180" s="1313"/>
      <c r="U180" s="1313"/>
      <c r="V180" s="1313"/>
      <c r="W180" s="1314"/>
      <c r="X180" s="1275"/>
      <c r="Y180" s="1275"/>
      <c r="Z180" s="1275"/>
      <c r="AA180" s="1275"/>
      <c r="AB180" s="1275"/>
      <c r="AC180" s="1275"/>
      <c r="AD180" s="1275"/>
      <c r="AE180" s="1275"/>
      <c r="AF180" s="1275"/>
      <c r="AG180" s="1275"/>
      <c r="AH180" s="1275"/>
      <c r="AI180" s="1275"/>
      <c r="AJ180" s="1275"/>
      <c r="AK180" s="1275"/>
      <c r="AL180" s="1275"/>
      <c r="AM180" s="1275"/>
      <c r="AN180" s="1275"/>
      <c r="AO180" s="1275"/>
      <c r="AP180" s="1275"/>
      <c r="AQ180" s="1275"/>
      <c r="AR180" s="1483">
        <v>0</v>
      </c>
    </row>
    <row s="1869" customFormat="1" customHeight="1" ht="17.25" hidden="1">
      <c r="A181" s="337"/>
      <c r="C181" s="336"/>
      <c r="D181" s="2152"/>
      <c r="E181" s="2160"/>
      <c r="F181" s="2162"/>
      <c r="G181" s="2160"/>
      <c r="H181" s="2165"/>
      <c r="I181" s="2167"/>
      <c r="J181" s="2170"/>
      <c r="K181" s="2154"/>
      <c r="L181" s="2154"/>
      <c r="M181" s="2154"/>
      <c r="N181" s="2157"/>
      <c r="O181" s="2154"/>
      <c r="P181" s="1487"/>
      <c r="Q181" s="1313"/>
      <c r="R181" s="1313"/>
      <c r="S181" s="345"/>
      <c r="T181" s="345"/>
      <c r="U181" s="345"/>
      <c r="V181" s="345"/>
      <c r="W181" s="1314"/>
      <c r="X181" s="1275"/>
      <c r="Y181" s="1275"/>
      <c r="Z181" s="1275"/>
      <c r="AA181" s="1275"/>
      <c r="AB181" s="1275"/>
      <c r="AC181" s="1275"/>
      <c r="AD181" s="1275"/>
      <c r="AE181" s="1275"/>
      <c r="AF181" s="1275"/>
      <c r="AG181" s="1275"/>
      <c r="AH181" s="1275"/>
      <c r="AI181" s="1275"/>
      <c r="AJ181" s="1275"/>
      <c r="AK181" s="1275"/>
      <c r="AL181" s="1275"/>
      <c r="AM181" s="1275"/>
      <c r="AN181" s="1275"/>
      <c r="AO181" s="1275"/>
      <c r="AP181" s="1275"/>
      <c r="AQ181" s="1275"/>
      <c r="AR181" s="1483">
        <v>0</v>
      </c>
    </row>
    <row s="1869" customFormat="1" customHeight="1" ht="17.25" hidden="1">
      <c r="A182" s="337"/>
      <c r="C182" s="336"/>
      <c r="D182" s="2152"/>
      <c r="E182" s="2160"/>
      <c r="F182" s="2162"/>
      <c r="G182" s="2160"/>
      <c r="H182" s="2165"/>
      <c r="I182" s="2167"/>
      <c r="J182" s="2170"/>
      <c r="K182" s="2154"/>
      <c r="L182" s="1313"/>
      <c r="M182" s="1313"/>
      <c r="N182" s="1313"/>
      <c r="O182" s="1313"/>
      <c r="P182" s="1313"/>
      <c r="Q182" s="1313"/>
      <c r="R182" s="1313"/>
      <c r="S182" s="345"/>
      <c r="T182" s="345"/>
      <c r="U182" s="345"/>
      <c r="V182" s="345"/>
      <c r="W182" s="1314"/>
      <c r="X182" s="1275"/>
      <c r="Y182" s="1275"/>
      <c r="Z182" s="1275"/>
      <c r="AA182" s="1275"/>
      <c r="AB182" s="1275"/>
      <c r="AC182" s="1275"/>
      <c r="AD182" s="1275"/>
      <c r="AE182" s="1275"/>
      <c r="AF182" s="1275"/>
      <c r="AG182" s="1275"/>
      <c r="AH182" s="1275"/>
      <c r="AI182" s="1275"/>
      <c r="AJ182" s="1275"/>
      <c r="AK182" s="1275"/>
      <c r="AL182" s="1275"/>
      <c r="AM182" s="1275"/>
      <c r="AN182" s="1275"/>
      <c r="AO182" s="1275"/>
      <c r="AP182" s="1275"/>
      <c r="AQ182" s="1275"/>
      <c r="AR182" s="1483">
        <v>0</v>
      </c>
    </row>
    <row s="1869" customFormat="1" customHeight="1" ht="17.25" hidden="1">
      <c r="A183" s="337"/>
      <c r="C183" s="336"/>
      <c r="D183" s="2152"/>
      <c r="E183" s="2160"/>
      <c r="F183" s="2163"/>
      <c r="G183" s="2160"/>
      <c r="H183" s="1315"/>
      <c r="I183" s="1316"/>
      <c r="J183" s="1316"/>
      <c r="K183" s="1316"/>
      <c r="L183" s="1316"/>
      <c r="M183" s="1316"/>
      <c r="N183" s="1316"/>
      <c r="O183" s="1316"/>
      <c r="P183" s="1316"/>
      <c r="Q183" s="1316"/>
      <c r="R183" s="1316"/>
      <c r="S183" s="1317"/>
      <c r="T183" s="1317"/>
      <c r="U183" s="1317"/>
      <c r="V183" s="1317"/>
      <c r="W183" s="1318"/>
      <c r="X183" s="1275"/>
      <c r="Y183" s="1275"/>
      <c r="Z183" s="1275"/>
      <c r="AA183" s="1275"/>
      <c r="AB183" s="1275"/>
      <c r="AC183" s="1275"/>
      <c r="AD183" s="1275"/>
      <c r="AE183" s="1275"/>
      <c r="AF183" s="1275"/>
      <c r="AG183" s="1275"/>
      <c r="AH183" s="1275"/>
      <c r="AI183" s="1275"/>
      <c r="AJ183" s="1275"/>
      <c r="AK183" s="1275"/>
      <c r="AL183" s="1275"/>
      <c r="AM183" s="1275"/>
      <c r="AN183" s="1275"/>
      <c r="AO183" s="1275"/>
      <c r="AP183" s="1275"/>
      <c r="AQ183" s="1275"/>
      <c r="AR183" s="1483">
        <v>0</v>
      </c>
    </row>
    <row s="1869" customFormat="1" customHeight="1" ht="17.25" hidden="1">
      <c r="A184" s="337"/>
      <c r="C184" s="225"/>
      <c r="D184" s="2151">
        <v>3</v>
      </c>
      <c r="E184" s="2159" t="s">
        <v>412</v>
      </c>
      <c r="F184" s="2161" t="s">
        <v>19</v>
      </c>
      <c r="G184" s="2159"/>
      <c r="H184" s="2164"/>
      <c r="I184" s="2166"/>
      <c r="J184" s="2168"/>
      <c r="K184" s="2153"/>
      <c r="L184" s="2153"/>
      <c r="M184" s="2153"/>
      <c r="N184" s="2155"/>
      <c r="O184" s="2153"/>
      <c r="P184" s="2153"/>
      <c r="Q184" s="2153"/>
      <c r="R184" s="2158"/>
      <c r="S184" s="2153"/>
      <c r="T184" s="1959"/>
      <c r="U184" s="1959"/>
      <c r="V184" s="1961"/>
      <c r="W184" s="1312"/>
      <c r="X184" s="1283"/>
      <c r="Y184" s="1283"/>
      <c r="Z184" s="1283"/>
      <c r="AA184" s="1283"/>
      <c r="AB184" s="1283"/>
      <c r="AC184" s="1283" t="s">
        <v>413</v>
      </c>
      <c r="AD184" s="1283" t="s">
        <v>414</v>
      </c>
      <c r="AE184" s="1283" t="s">
        <v>415</v>
      </c>
      <c r="AF184" s="1283" t="s">
        <v>416</v>
      </c>
      <c r="AG184" s="1283"/>
      <c r="AH184" s="1283" t="str">
        <f>IF($E$184=0,"",$E$184)</f>
        <v>Тариф на подключение (технологическое присоединение) к централизованной системе горячего водоснабжения</v>
      </c>
      <c r="AI184" s="1283" t="str">
        <f>IF($G$184=0,"",$G$184)</f>
        <v/>
      </c>
      <c r="AJ184" s="1283" t="str">
        <f>IF($J$184=0,"",$J$184)</f>
        <v/>
      </c>
      <c r="AK184" s="1283" t="str">
        <f>IF($K$184="нет","без дифференциации",IF($N$184=0,"",$N$184))</f>
        <v/>
      </c>
      <c r="AL184" s="1283" t="str">
        <f>IF($O$184="нет","без дифференциации",IF($R$184=0,"",$R$184))</f>
        <v/>
      </c>
      <c r="AM184" s="1283" t="str">
        <f>IF($S$184="нет","без дифференциации",IF($V$184=0,"",$V$184))</f>
        <v/>
      </c>
      <c r="AN184" s="1788">
        <f>$I$184</f>
        <v>0</v>
      </c>
      <c r="AO184" s="1283" t="str">
        <f>$I$184&amp;"."&amp;$M$184</f>
        <v>.</v>
      </c>
      <c r="AP184" s="1282" t="str">
        <f>$I$184&amp;"."&amp;$M$184&amp;"."&amp;$Q$184</f>
        <v>..</v>
      </c>
      <c r="AQ184" s="1282" t="str">
        <f>$I$184&amp;"."&amp;$M$184&amp;"."&amp;$Q$184&amp;"."&amp;$U$184</f>
        <v>...</v>
      </c>
      <c r="AR184" s="1483">
        <v>0</v>
      </c>
    </row>
    <row s="1869" customFormat="1" customHeight="1" ht="17.25" hidden="1">
      <c r="A185" s="337"/>
      <c r="C185" s="336"/>
      <c r="D185" s="2151"/>
      <c r="E185" s="2159"/>
      <c r="F185" s="2162"/>
      <c r="G185" s="2159"/>
      <c r="H185" s="2165"/>
      <c r="I185" s="2167"/>
      <c r="J185" s="2169"/>
      <c r="K185" s="2154"/>
      <c r="L185" s="2154"/>
      <c r="M185" s="2154"/>
      <c r="N185" s="2156"/>
      <c r="O185" s="2154"/>
      <c r="P185" s="2154"/>
      <c r="Q185" s="2154"/>
      <c r="R185" s="2157"/>
      <c r="S185" s="2154"/>
      <c r="T185" s="1964"/>
      <c r="U185" s="1964"/>
      <c r="V185" s="1964"/>
      <c r="W185" s="1965"/>
      <c r="X185" s="1282"/>
      <c r="Y185" s="1282"/>
      <c r="Z185" s="1282"/>
      <c r="AA185" s="1282"/>
      <c r="AB185" s="1282"/>
      <c r="AC185" s="1282"/>
      <c r="AD185" s="1282"/>
      <c r="AE185" s="1282"/>
      <c r="AF185" s="1282"/>
      <c r="AG185" s="1282"/>
      <c r="AH185" s="1282"/>
      <c r="AI185" s="1282"/>
      <c r="AJ185" s="1282"/>
      <c r="AK185" s="1282"/>
      <c r="AL185" s="1282"/>
      <c r="AM185" s="1282"/>
      <c r="AN185" s="1282"/>
      <c r="AO185" s="1282"/>
      <c r="AP185" s="1282"/>
      <c r="AQ185" s="1282"/>
      <c r="AR185" s="1483">
        <v>0</v>
      </c>
    </row>
    <row s="1869" customFormat="1" customHeight="1" ht="17.25" hidden="1">
      <c r="A186" s="337"/>
      <c r="C186" s="336"/>
      <c r="D186" s="2152"/>
      <c r="E186" s="2160"/>
      <c r="F186" s="2162"/>
      <c r="G186" s="2160"/>
      <c r="H186" s="2165"/>
      <c r="I186" s="2167"/>
      <c r="J186" s="2170"/>
      <c r="K186" s="2154"/>
      <c r="L186" s="2154"/>
      <c r="M186" s="2154"/>
      <c r="N186" s="2157"/>
      <c r="O186" s="2154"/>
      <c r="P186" s="1960"/>
      <c r="Q186" s="1964"/>
      <c r="R186" s="1964"/>
      <c r="S186" s="345"/>
      <c r="T186" s="345"/>
      <c r="U186" s="345"/>
      <c r="V186" s="345"/>
      <c r="W186" s="1965"/>
      <c r="X186" s="1282"/>
      <c r="Y186" s="1282"/>
      <c r="Z186" s="1282"/>
      <c r="AA186" s="1282"/>
      <c r="AB186" s="1282"/>
      <c r="AC186" s="1282"/>
      <c r="AD186" s="1282"/>
      <c r="AE186" s="1282"/>
      <c r="AF186" s="1282"/>
      <c r="AG186" s="1282"/>
      <c r="AH186" s="1282"/>
      <c r="AI186" s="1282"/>
      <c r="AJ186" s="1282"/>
      <c r="AK186" s="1282"/>
      <c r="AL186" s="1282"/>
      <c r="AM186" s="1282"/>
      <c r="AN186" s="1282"/>
      <c r="AO186" s="1282"/>
      <c r="AP186" s="1282"/>
      <c r="AQ186" s="1282"/>
      <c r="AR186" s="1483">
        <v>0</v>
      </c>
    </row>
    <row s="1869" customFormat="1" customHeight="1" ht="17.25" hidden="1">
      <c r="A187" s="337"/>
      <c r="C187" s="336"/>
      <c r="D187" s="2152"/>
      <c r="E187" s="2160"/>
      <c r="F187" s="2162"/>
      <c r="G187" s="2160"/>
      <c r="H187" s="2165"/>
      <c r="I187" s="2167"/>
      <c r="J187" s="2170"/>
      <c r="K187" s="2154"/>
      <c r="L187" s="1964"/>
      <c r="M187" s="1964"/>
      <c r="N187" s="1964"/>
      <c r="O187" s="1964"/>
      <c r="P187" s="1964"/>
      <c r="Q187" s="1964"/>
      <c r="R187" s="1964"/>
      <c r="S187" s="345"/>
      <c r="T187" s="345"/>
      <c r="U187" s="345"/>
      <c r="V187" s="345"/>
      <c r="W187" s="1965"/>
      <c r="X187" s="1282"/>
      <c r="Y187" s="1282"/>
      <c r="Z187" s="1282"/>
      <c r="AA187" s="1282"/>
      <c r="AB187" s="1282"/>
      <c r="AC187" s="1282"/>
      <c r="AD187" s="1282"/>
      <c r="AE187" s="1282"/>
      <c r="AF187" s="1282"/>
      <c r="AG187" s="1282"/>
      <c r="AH187" s="1282"/>
      <c r="AI187" s="1282"/>
      <c r="AJ187" s="1282"/>
      <c r="AK187" s="1282"/>
      <c r="AL187" s="1282"/>
      <c r="AM187" s="1282"/>
      <c r="AN187" s="1282"/>
      <c r="AO187" s="1282"/>
      <c r="AP187" s="1282"/>
      <c r="AQ187" s="1282"/>
      <c r="AR187" s="1483">
        <v>0</v>
      </c>
    </row>
    <row s="1869" customFormat="1" customHeight="1" ht="17.25" hidden="1">
      <c r="A188" s="337"/>
      <c r="C188" s="336"/>
      <c r="D188" s="2152"/>
      <c r="E188" s="2160"/>
      <c r="F188" s="2163"/>
      <c r="G188" s="2160"/>
      <c r="H188" s="1315"/>
      <c r="I188" s="1962"/>
      <c r="J188" s="1962"/>
      <c r="K188" s="1962"/>
      <c r="L188" s="1962"/>
      <c r="M188" s="1962"/>
      <c r="N188" s="1962"/>
      <c r="O188" s="1962"/>
      <c r="P188" s="1962"/>
      <c r="Q188" s="1962"/>
      <c r="R188" s="1962"/>
      <c r="S188" s="1317"/>
      <c r="T188" s="1317"/>
      <c r="U188" s="1317"/>
      <c r="V188" s="1317"/>
      <c r="W188" s="1963"/>
      <c r="X188" s="1282"/>
      <c r="Y188" s="1282"/>
      <c r="Z188" s="1282"/>
      <c r="AA188" s="1282"/>
      <c r="AB188" s="1282"/>
      <c r="AC188" s="1282"/>
      <c r="AD188" s="1282"/>
      <c r="AE188" s="1282"/>
      <c r="AF188" s="1282"/>
      <c r="AG188" s="1282"/>
      <c r="AH188" s="1282"/>
      <c r="AI188" s="1282"/>
      <c r="AJ188" s="1282"/>
      <c r="AK188" s="1282"/>
      <c r="AL188" s="1282"/>
      <c r="AM188" s="1282"/>
      <c r="AN188" s="1282"/>
      <c r="AO188" s="1282"/>
      <c r="AP188" s="1282"/>
      <c r="AQ188" s="1282"/>
      <c r="AR188" s="1483">
        <v>0</v>
      </c>
    </row>
    <row s="1869" customFormat="1" customHeight="1" ht="11.25" hidden="1">
      <c r="A189" s="293"/>
      <c r="B189" s="293"/>
      <c r="Y189" s="1275"/>
      <c r="Z189" s="1275"/>
      <c r="AA189" s="1275"/>
      <c r="AB189" s="1275"/>
      <c r="AC189" s="1275"/>
      <c r="AD189" s="1275"/>
      <c r="AE189" s="1275"/>
      <c r="AF189" s="1275"/>
      <c r="AG189" s="1275"/>
      <c r="AH189" s="1275"/>
      <c r="AI189" s="1275"/>
      <c r="AJ189" s="1275"/>
      <c r="AK189" s="1275"/>
      <c r="AL189" s="1275"/>
      <c r="AM189" s="1275"/>
      <c r="AN189" s="1275"/>
      <c r="AO189" s="1275"/>
      <c r="AP189" s="1275"/>
      <c r="AQ189" s="1275"/>
      <c r="AR189" s="1483">
        <v>0</v>
      </c>
    </row>
    <row s="1869" customFormat="1" customHeight="1" ht="17.25" hidden="1">
      <c r="A190" s="337"/>
      <c r="C190" s="225"/>
      <c r="D190" s="2151">
        <v>1</v>
      </c>
      <c r="E190" s="2159" t="s">
        <v>417</v>
      </c>
      <c r="F190" s="2161" t="s">
        <v>19</v>
      </c>
      <c r="G190" s="2159"/>
      <c r="H190" s="2164"/>
      <c r="I190" s="2166"/>
      <c r="J190" s="2168"/>
      <c r="K190" s="2153"/>
      <c r="L190" s="2153"/>
      <c r="M190" s="2153"/>
      <c r="N190" s="2155"/>
      <c r="O190" s="2153"/>
      <c r="P190" s="2153"/>
      <c r="Q190" s="2153"/>
      <c r="R190" s="2158"/>
      <c r="S190" s="2153"/>
      <c r="T190" s="1486"/>
      <c r="U190" s="1486"/>
      <c r="V190" s="1488"/>
      <c r="W190" s="1312"/>
      <c r="Y190" s="1283"/>
      <c r="Z190" s="1283"/>
      <c r="AA190" s="1283"/>
      <c r="AB190" s="1283"/>
      <c r="AC190" s="1283" t="s">
        <v>418</v>
      </c>
      <c r="AD190" s="1283" t="s">
        <v>419</v>
      </c>
      <c r="AE190" s="1283" t="s">
        <v>420</v>
      </c>
      <c r="AF190" s="1283" t="s">
        <v>421</v>
      </c>
      <c r="AG190" s="1283"/>
      <c r="AH190" s="1283" t="str">
        <f>IF($E$190=0,"",$E$190)</f>
        <v>Тариф на водоотведение</v>
      </c>
      <c r="AI190" s="1283" t="str">
        <f>IF($G$190=0,"",$G$190)</f>
        <v/>
      </c>
      <c r="AJ190" s="1283" t="str">
        <f>IF($J$190=0,"",$J$190)</f>
        <v/>
      </c>
      <c r="AK190" s="1283" t="str">
        <f>IF($K$190="нет","без дифференциации",IF($N$190=0,"",$N$190))</f>
        <v/>
      </c>
      <c r="AL190" s="1283" t="str">
        <f>IF($O$190="нет","без дифференциации",IF($R$190=0,"",$R$190))</f>
        <v/>
      </c>
      <c r="AM190" s="1283" t="str">
        <f>IF($S$190="нет","без дифференциации",IF($V$190=0,"",$V$190))</f>
        <v/>
      </c>
      <c r="AN190" s="1283">
        <f>$I$190</f>
        <v>0</v>
      </c>
      <c r="AO190" s="1283" t="str">
        <f>$I$190&amp;"."&amp;$M$190</f>
        <v>.</v>
      </c>
      <c r="AP190" s="1283" t="str">
        <f>$I$190&amp;"."&amp;$M$190&amp;"."&amp;$Q$190</f>
        <v>..</v>
      </c>
      <c r="AQ190" s="1283" t="str">
        <f>$I$190&amp;"."&amp;$M$190&amp;"."&amp;$Q$190&amp;"."&amp;$U$190</f>
        <v>...</v>
      </c>
      <c r="AR190" s="1483">
        <v>0</v>
      </c>
    </row>
    <row s="1869" customFormat="1" customHeight="1" ht="17.25" hidden="1">
      <c r="A191" s="337"/>
      <c r="C191" s="336"/>
      <c r="D191" s="2151"/>
      <c r="E191" s="2159"/>
      <c r="F191" s="2162"/>
      <c r="G191" s="2159"/>
      <c r="H191" s="2165"/>
      <c r="I191" s="2167"/>
      <c r="J191" s="2169"/>
      <c r="K191" s="2154"/>
      <c r="L191" s="2154"/>
      <c r="M191" s="2154"/>
      <c r="N191" s="2156"/>
      <c r="O191" s="2154"/>
      <c r="P191" s="2154"/>
      <c r="Q191" s="2154"/>
      <c r="R191" s="2157"/>
      <c r="S191" s="2154"/>
      <c r="T191" s="1313"/>
      <c r="U191" s="1313"/>
      <c r="V191" s="1313"/>
      <c r="W191" s="1314"/>
      <c r="Y191" s="1275"/>
      <c r="Z191" s="1275"/>
      <c r="AA191" s="1275"/>
      <c r="AB191" s="1275"/>
      <c r="AC191" s="1275"/>
      <c r="AD191" s="1275"/>
      <c r="AE191" s="1275"/>
      <c r="AF191" s="1275"/>
      <c r="AG191" s="1275"/>
      <c r="AH191" s="1275"/>
      <c r="AI191" s="1275"/>
      <c r="AJ191" s="1275"/>
      <c r="AK191" s="1275"/>
      <c r="AL191" s="1275"/>
      <c r="AM191" s="1275"/>
      <c r="AN191" s="1275"/>
      <c r="AO191" s="1275"/>
      <c r="AP191" s="1275"/>
      <c r="AQ191" s="1275"/>
      <c r="AR191" s="1483">
        <v>0</v>
      </c>
    </row>
    <row s="1869" customFormat="1" customHeight="1" ht="17.25" hidden="1">
      <c r="A192" s="337"/>
      <c r="C192" s="225"/>
      <c r="D192" s="2151"/>
      <c r="E192" s="2159"/>
      <c r="F192" s="2162"/>
      <c r="G192" s="2159"/>
      <c r="H192" s="2165"/>
      <c r="I192" s="2167"/>
      <c r="J192" s="2170"/>
      <c r="K192" s="2154"/>
      <c r="L192" s="2154"/>
      <c r="M192" s="2154"/>
      <c r="N192" s="2157"/>
      <c r="O192" s="2154"/>
      <c r="P192" s="1487"/>
      <c r="Q192" s="1313"/>
      <c r="R192" s="1313"/>
      <c r="S192" s="345"/>
      <c r="T192" s="345"/>
      <c r="U192" s="345"/>
      <c r="V192" s="345"/>
      <c r="W192" s="1314"/>
      <c r="Y192" s="1283"/>
      <c r="Z192" s="1283"/>
      <c r="AA192" s="1283"/>
      <c r="AB192" s="1283"/>
      <c r="AC192" s="1283"/>
      <c r="AD192" s="1283"/>
      <c r="AE192" s="1283"/>
      <c r="AF192" s="1283"/>
      <c r="AG192" s="1283"/>
      <c r="AH192" s="1283"/>
      <c r="AI192" s="1283"/>
      <c r="AJ192" s="1283"/>
      <c r="AK192" s="1283"/>
      <c r="AL192" s="1283"/>
      <c r="AM192" s="1283"/>
      <c r="AN192" s="1283"/>
      <c r="AO192" s="1283"/>
      <c r="AP192" s="1283"/>
      <c r="AQ192" s="1283"/>
      <c r="AR192" s="1483">
        <v>0</v>
      </c>
    </row>
    <row s="1869" customFormat="1" customHeight="1" ht="17.25" hidden="1">
      <c r="A193" s="337"/>
      <c r="C193" s="336"/>
      <c r="D193" s="2151"/>
      <c r="E193" s="2159"/>
      <c r="F193" s="2162"/>
      <c r="G193" s="2159"/>
      <c r="H193" s="2165"/>
      <c r="I193" s="2167"/>
      <c r="J193" s="2170"/>
      <c r="K193" s="2154"/>
      <c r="L193" s="1313"/>
      <c r="M193" s="1313"/>
      <c r="N193" s="1313"/>
      <c r="O193" s="1313"/>
      <c r="P193" s="1313"/>
      <c r="Q193" s="1313"/>
      <c r="R193" s="1313"/>
      <c r="S193" s="345"/>
      <c r="T193" s="345"/>
      <c r="U193" s="345"/>
      <c r="V193" s="345"/>
      <c r="W193" s="1314"/>
      <c r="Y193" s="1275"/>
      <c r="Z193" s="1275"/>
      <c r="AA193" s="1275"/>
      <c r="AB193" s="1275"/>
      <c r="AC193" s="1275"/>
      <c r="AD193" s="1275"/>
      <c r="AE193" s="1275"/>
      <c r="AF193" s="1275"/>
      <c r="AG193" s="1275"/>
      <c r="AH193" s="1275"/>
      <c r="AI193" s="1275"/>
      <c r="AJ193" s="1275"/>
      <c r="AK193" s="1275"/>
      <c r="AL193" s="1275"/>
      <c r="AM193" s="1275"/>
      <c r="AN193" s="1275"/>
      <c r="AO193" s="1275"/>
      <c r="AP193" s="1275"/>
      <c r="AQ193" s="1275"/>
      <c r="AR193" s="1483">
        <v>0</v>
      </c>
    </row>
    <row s="1869" customFormat="1" customHeight="1" ht="17.25" hidden="1">
      <c r="A194" s="337"/>
      <c r="C194" s="336"/>
      <c r="D194" s="2152"/>
      <c r="E194" s="2160"/>
      <c r="F194" s="2163"/>
      <c r="G194" s="2160"/>
      <c r="H194" s="1315"/>
      <c r="I194" s="1316"/>
      <c r="J194" s="1316"/>
      <c r="K194" s="1316"/>
      <c r="L194" s="1316"/>
      <c r="M194" s="1316"/>
      <c r="N194" s="1316"/>
      <c r="O194" s="1316"/>
      <c r="P194" s="1316"/>
      <c r="Q194" s="1316"/>
      <c r="R194" s="1316"/>
      <c r="S194" s="1317"/>
      <c r="T194" s="1317"/>
      <c r="U194" s="1317"/>
      <c r="V194" s="1317"/>
      <c r="W194" s="1318"/>
      <c r="Y194" s="1275"/>
      <c r="Z194" s="1275"/>
      <c r="AA194" s="1275"/>
      <c r="AB194" s="1275"/>
      <c r="AC194" s="1275"/>
      <c r="AD194" s="1275"/>
      <c r="AE194" s="1275"/>
      <c r="AF194" s="1275"/>
      <c r="AG194" s="1275"/>
      <c r="AH194" s="1275"/>
      <c r="AI194" s="1275"/>
      <c r="AJ194" s="1275"/>
      <c r="AK194" s="1275"/>
      <c r="AL194" s="1275"/>
      <c r="AM194" s="1275"/>
      <c r="AN194" s="1275"/>
      <c r="AO194" s="1275"/>
      <c r="AP194" s="1275"/>
      <c r="AQ194" s="1275"/>
      <c r="AR194" s="1483">
        <v>0</v>
      </c>
    </row>
    <row s="1869" customFormat="1" customHeight="1" ht="17.25" hidden="1">
      <c r="A195" s="337"/>
      <c r="C195" s="225"/>
      <c r="D195" s="2151">
        <v>2</v>
      </c>
      <c r="E195" s="2159" t="s">
        <v>422</v>
      </c>
      <c r="F195" s="2161" t="s">
        <v>19</v>
      </c>
      <c r="G195" s="2159"/>
      <c r="H195" s="2164"/>
      <c r="I195" s="2166"/>
      <c r="J195" s="2168"/>
      <c r="K195" s="2153"/>
      <c r="L195" s="2153"/>
      <c r="M195" s="2153"/>
      <c r="N195" s="2155"/>
      <c r="O195" s="2153"/>
      <c r="P195" s="2153"/>
      <c r="Q195" s="2153"/>
      <c r="R195" s="2158"/>
      <c r="S195" s="2153"/>
      <c r="T195" s="1486"/>
      <c r="U195" s="1486"/>
      <c r="V195" s="1488"/>
      <c r="W195" s="1312"/>
      <c r="X195" s="1283"/>
      <c r="Y195" s="1283"/>
      <c r="Z195" s="1283"/>
      <c r="AA195" s="1283"/>
      <c r="AB195" s="1283"/>
      <c r="AC195" s="1283" t="s">
        <v>423</v>
      </c>
      <c r="AD195" s="1283" t="s">
        <v>424</v>
      </c>
      <c r="AE195" s="1283" t="s">
        <v>425</v>
      </c>
      <c r="AF195" s="1283" t="s">
        <v>426</v>
      </c>
      <c r="AG195" s="1283"/>
      <c r="AH195" s="1283" t="str">
        <f>IF($E$195=0,"",$E$195)</f>
        <v>Тариф на транспортировку сточных вод</v>
      </c>
      <c r="AI195" s="1283" t="str">
        <f>IF($G$195=0,"",$G$195)</f>
        <v/>
      </c>
      <c r="AJ195" s="1283" t="str">
        <f>IF($J$195=0,"",$J$195)</f>
        <v/>
      </c>
      <c r="AK195" s="1283" t="str">
        <f>IF($K$195="нет","без дифференциации",IF($N$195=0,"",$N$195))</f>
        <v/>
      </c>
      <c r="AL195" s="1283" t="str">
        <f>IF($O$195="нет","без дифференциации",IF($R$195=0,"",$R$195))</f>
        <v/>
      </c>
      <c r="AM195" s="1283" t="str">
        <f>IF($S$195="нет","без дифференциации",IF($V$195=0,"",$V$195))</f>
        <v/>
      </c>
      <c r="AN195" s="1788">
        <f>$I$195</f>
        <v>0</v>
      </c>
      <c r="AO195" s="1283" t="str">
        <f>$I$195&amp;"."&amp;$M$195</f>
        <v>.</v>
      </c>
      <c r="AP195" s="1275" t="str">
        <f>$I$195&amp;"."&amp;$M$195&amp;"."&amp;$Q$195</f>
        <v>..</v>
      </c>
      <c r="AQ195" s="1275" t="str">
        <f>$I$195&amp;"."&amp;$M$195&amp;"."&amp;$Q$195&amp;"."&amp;$U$195</f>
        <v>...</v>
      </c>
      <c r="AR195" s="1483">
        <v>0</v>
      </c>
    </row>
    <row s="1869" customFormat="1" customHeight="1" ht="17.25" hidden="1">
      <c r="A196" s="337"/>
      <c r="C196" s="336"/>
      <c r="D196" s="2151"/>
      <c r="E196" s="2159"/>
      <c r="F196" s="2162"/>
      <c r="G196" s="2159"/>
      <c r="H196" s="2165"/>
      <c r="I196" s="2167"/>
      <c r="J196" s="2169"/>
      <c r="K196" s="2154"/>
      <c r="L196" s="2154"/>
      <c r="M196" s="2154"/>
      <c r="N196" s="2156"/>
      <c r="O196" s="2154"/>
      <c r="P196" s="2154"/>
      <c r="Q196" s="2154"/>
      <c r="R196" s="2157"/>
      <c r="S196" s="2154"/>
      <c r="T196" s="1313"/>
      <c r="U196" s="1313"/>
      <c r="V196" s="1313"/>
      <c r="W196" s="1314"/>
      <c r="X196" s="1275"/>
      <c r="Y196" s="1275"/>
      <c r="Z196" s="1275"/>
      <c r="AA196" s="1275"/>
      <c r="AB196" s="1275"/>
      <c r="AC196" s="1275"/>
      <c r="AD196" s="1275"/>
      <c r="AE196" s="1275"/>
      <c r="AF196" s="1275"/>
      <c r="AG196" s="1275"/>
      <c r="AH196" s="1275"/>
      <c r="AI196" s="1275"/>
      <c r="AJ196" s="1275"/>
      <c r="AK196" s="1275"/>
      <c r="AL196" s="1275"/>
      <c r="AM196" s="1275"/>
      <c r="AN196" s="1275"/>
      <c r="AO196" s="1275"/>
      <c r="AP196" s="1275"/>
      <c r="AQ196" s="1275"/>
      <c r="AR196" s="1483">
        <v>0</v>
      </c>
    </row>
    <row s="1869" customFormat="1" customHeight="1" ht="17.25" hidden="1">
      <c r="A197" s="337"/>
      <c r="C197" s="336"/>
      <c r="D197" s="2152"/>
      <c r="E197" s="2160"/>
      <c r="F197" s="2162"/>
      <c r="G197" s="2160"/>
      <c r="H197" s="2165"/>
      <c r="I197" s="2167"/>
      <c r="J197" s="2170"/>
      <c r="K197" s="2154"/>
      <c r="L197" s="2154"/>
      <c r="M197" s="2154"/>
      <c r="N197" s="2157"/>
      <c r="O197" s="2154"/>
      <c r="P197" s="1487"/>
      <c r="Q197" s="1313"/>
      <c r="R197" s="1313"/>
      <c r="S197" s="345"/>
      <c r="T197" s="345"/>
      <c r="U197" s="345"/>
      <c r="V197" s="345"/>
      <c r="W197" s="1314"/>
      <c r="X197" s="1275"/>
      <c r="Y197" s="1275"/>
      <c r="Z197" s="1275"/>
      <c r="AA197" s="1275"/>
      <c r="AB197" s="1275"/>
      <c r="AC197" s="1275"/>
      <c r="AD197" s="1275"/>
      <c r="AE197" s="1275"/>
      <c r="AF197" s="1275"/>
      <c r="AG197" s="1275"/>
      <c r="AH197" s="1275"/>
      <c r="AI197" s="1275"/>
      <c r="AJ197" s="1275"/>
      <c r="AK197" s="1275"/>
      <c r="AL197" s="1275"/>
      <c r="AM197" s="1275"/>
      <c r="AN197" s="1275"/>
      <c r="AO197" s="1275"/>
      <c r="AP197" s="1275"/>
      <c r="AQ197" s="1275"/>
      <c r="AR197" s="1483">
        <v>0</v>
      </c>
    </row>
    <row s="1869" customFormat="1" customHeight="1" ht="17.25" hidden="1">
      <c r="A198" s="337"/>
      <c r="C198" s="336"/>
      <c r="D198" s="2152"/>
      <c r="E198" s="2160"/>
      <c r="F198" s="2162"/>
      <c r="G198" s="2160"/>
      <c r="H198" s="2165"/>
      <c r="I198" s="2167"/>
      <c r="J198" s="2170"/>
      <c r="K198" s="2154"/>
      <c r="L198" s="1313"/>
      <c r="M198" s="1313"/>
      <c r="N198" s="1313"/>
      <c r="O198" s="1313"/>
      <c r="P198" s="1313"/>
      <c r="Q198" s="1313"/>
      <c r="R198" s="1313"/>
      <c r="S198" s="345"/>
      <c r="T198" s="345"/>
      <c r="U198" s="345"/>
      <c r="V198" s="345"/>
      <c r="W198" s="1314"/>
      <c r="X198" s="1275"/>
      <c r="Y198" s="1275"/>
      <c r="Z198" s="1275"/>
      <c r="AA198" s="1275"/>
      <c r="AB198" s="1275"/>
      <c r="AC198" s="1275"/>
      <c r="AD198" s="1275"/>
      <c r="AE198" s="1275"/>
      <c r="AF198" s="1275"/>
      <c r="AG198" s="1275"/>
      <c r="AH198" s="1275"/>
      <c r="AI198" s="1275"/>
      <c r="AJ198" s="1275"/>
      <c r="AK198" s="1275"/>
      <c r="AL198" s="1275"/>
      <c r="AM198" s="1275"/>
      <c r="AN198" s="1275"/>
      <c r="AO198" s="1275"/>
      <c r="AP198" s="1275"/>
      <c r="AQ198" s="1275"/>
      <c r="AR198" s="1483">
        <v>0</v>
      </c>
    </row>
    <row s="1869" customFormat="1" customHeight="1" ht="17.25" hidden="1">
      <c r="A199" s="337"/>
      <c r="C199" s="336"/>
      <c r="D199" s="2152"/>
      <c r="E199" s="2160"/>
      <c r="F199" s="2163"/>
      <c r="G199" s="2160"/>
      <c r="H199" s="1315"/>
      <c r="I199" s="1316"/>
      <c r="J199" s="1316"/>
      <c r="K199" s="1316"/>
      <c r="L199" s="1316"/>
      <c r="M199" s="1316"/>
      <c r="N199" s="1316"/>
      <c r="O199" s="1316"/>
      <c r="P199" s="1316"/>
      <c r="Q199" s="1316"/>
      <c r="R199" s="1316"/>
      <c r="S199" s="1317"/>
      <c r="T199" s="1317"/>
      <c r="U199" s="1317"/>
      <c r="V199" s="1317"/>
      <c r="W199" s="1318"/>
      <c r="X199" s="1275"/>
      <c r="Y199" s="1275"/>
      <c r="Z199" s="1275"/>
      <c r="AA199" s="1275"/>
      <c r="AB199" s="1275"/>
      <c r="AC199" s="1275"/>
      <c r="AD199" s="1275"/>
      <c r="AE199" s="1275"/>
      <c r="AF199" s="1275"/>
      <c r="AG199" s="1275"/>
      <c r="AH199" s="1275"/>
      <c r="AI199" s="1275"/>
      <c r="AJ199" s="1275"/>
      <c r="AK199" s="1275"/>
      <c r="AL199" s="1275"/>
      <c r="AM199" s="1275"/>
      <c r="AN199" s="1275"/>
      <c r="AO199" s="1275"/>
      <c r="AP199" s="1275"/>
      <c r="AQ199" s="1275"/>
      <c r="AR199" s="1483">
        <v>0</v>
      </c>
    </row>
    <row s="1869" customFormat="1" customHeight="1" ht="17.25" hidden="1">
      <c r="A200" s="337"/>
      <c r="C200" s="225"/>
      <c r="D200" s="2151">
        <v>3</v>
      </c>
      <c r="E200" s="2159" t="s">
        <v>427</v>
      </c>
      <c r="F200" s="2161" t="s">
        <v>19</v>
      </c>
      <c r="G200" s="2159"/>
      <c r="H200" s="2164"/>
      <c r="I200" s="2166"/>
      <c r="J200" s="2168"/>
      <c r="K200" s="2153"/>
      <c r="L200" s="2153"/>
      <c r="M200" s="2153"/>
      <c r="N200" s="2155"/>
      <c r="O200" s="2153"/>
      <c r="P200" s="2153"/>
      <c r="Q200" s="2153"/>
      <c r="R200" s="2158"/>
      <c r="S200" s="2153"/>
      <c r="T200" s="1959"/>
      <c r="U200" s="1959"/>
      <c r="V200" s="1961"/>
      <c r="W200" s="1312"/>
      <c r="X200" s="1283"/>
      <c r="Y200" s="1283"/>
      <c r="Z200" s="1283"/>
      <c r="AA200" s="1283"/>
      <c r="AB200" s="1283"/>
      <c r="AC200" s="1283" t="s">
        <v>428</v>
      </c>
      <c r="AD200" s="1283" t="s">
        <v>429</v>
      </c>
      <c r="AE200" s="1283" t="s">
        <v>430</v>
      </c>
      <c r="AF200" s="1283" t="s">
        <v>431</v>
      </c>
      <c r="AG200" s="1283"/>
      <c r="AH200" s="1283" t="str">
        <f>IF($E$200=0,"",$E$200)</f>
        <v>Тариф на подключение (технологическое присоединение) к централизованной системе водоотведения</v>
      </c>
      <c r="AI200" s="1283" t="str">
        <f>IF($G$200=0,"",$G$200)</f>
        <v/>
      </c>
      <c r="AJ200" s="1283" t="str">
        <f>IF($J$200=0,"",$J$200)</f>
        <v/>
      </c>
      <c r="AK200" s="1283" t="str">
        <f>IF($K$200="нет","без дифференциации",IF($N$200=0,"",$N$200))</f>
        <v/>
      </c>
      <c r="AL200" s="1283" t="str">
        <f>IF($O$200="нет","без дифференциации",IF($R$200=0,"",$R$200))</f>
        <v/>
      </c>
      <c r="AM200" s="1283" t="str">
        <f>IF($S$200="нет","без дифференциации",IF($V$200=0,"",$V$200))</f>
        <v/>
      </c>
      <c r="AN200" s="1788">
        <f>$I$200</f>
        <v>0</v>
      </c>
      <c r="AO200" s="1283" t="str">
        <f>$I$200&amp;"."&amp;$M$200</f>
        <v>.</v>
      </c>
      <c r="AP200" s="1282" t="str">
        <f>$I$200&amp;"."&amp;$M$200&amp;"."&amp;$Q$200</f>
        <v>..</v>
      </c>
      <c r="AQ200" s="1282" t="str">
        <f>$I$200&amp;"."&amp;$M$200&amp;"."&amp;$Q$200&amp;"."&amp;$U$200</f>
        <v>...</v>
      </c>
      <c r="AR200" s="1483">
        <v>0</v>
      </c>
    </row>
    <row s="1869" customFormat="1" customHeight="1" ht="17.25" hidden="1">
      <c r="A201" s="337"/>
      <c r="C201" s="336"/>
      <c r="D201" s="2151"/>
      <c r="E201" s="2159"/>
      <c r="F201" s="2162"/>
      <c r="G201" s="2159"/>
      <c r="H201" s="2165"/>
      <c r="I201" s="2167"/>
      <c r="J201" s="2169"/>
      <c r="K201" s="2154"/>
      <c r="L201" s="2154"/>
      <c r="M201" s="2154"/>
      <c r="N201" s="2156"/>
      <c r="O201" s="2154"/>
      <c r="P201" s="2154"/>
      <c r="Q201" s="2154"/>
      <c r="R201" s="2157"/>
      <c r="S201" s="2154"/>
      <c r="T201" s="1964"/>
      <c r="U201" s="1964"/>
      <c r="V201" s="1964"/>
      <c r="W201" s="1965"/>
      <c r="X201" s="1282"/>
      <c r="Y201" s="1282"/>
      <c r="Z201" s="1282"/>
      <c r="AA201" s="1282"/>
      <c r="AB201" s="1282"/>
      <c r="AC201" s="1282"/>
      <c r="AD201" s="1282"/>
      <c r="AE201" s="1282"/>
      <c r="AF201" s="1282"/>
      <c r="AG201" s="1282"/>
      <c r="AH201" s="1282"/>
      <c r="AI201" s="1282"/>
      <c r="AJ201" s="1282"/>
      <c r="AK201" s="1282"/>
      <c r="AL201" s="1282"/>
      <c r="AM201" s="1282"/>
      <c r="AN201" s="1282"/>
      <c r="AO201" s="1282"/>
      <c r="AP201" s="1282"/>
      <c r="AQ201" s="1282"/>
      <c r="AR201" s="1483">
        <v>0</v>
      </c>
    </row>
    <row s="1869" customFormat="1" customHeight="1" ht="17.25" hidden="1">
      <c r="A202" s="337"/>
      <c r="C202" s="336"/>
      <c r="D202" s="2152"/>
      <c r="E202" s="2160"/>
      <c r="F202" s="2162"/>
      <c r="G202" s="2160"/>
      <c r="H202" s="2165"/>
      <c r="I202" s="2167"/>
      <c r="J202" s="2170"/>
      <c r="K202" s="2154"/>
      <c r="L202" s="2154"/>
      <c r="M202" s="2154"/>
      <c r="N202" s="2157"/>
      <c r="O202" s="2154"/>
      <c r="P202" s="1960"/>
      <c r="Q202" s="1964"/>
      <c r="R202" s="1964"/>
      <c r="S202" s="345"/>
      <c r="T202" s="345"/>
      <c r="U202" s="345"/>
      <c r="V202" s="345"/>
      <c r="W202" s="1965"/>
      <c r="X202" s="1282"/>
      <c r="Y202" s="1282"/>
      <c r="Z202" s="1282"/>
      <c r="AA202" s="1282"/>
      <c r="AB202" s="1282"/>
      <c r="AC202" s="1282"/>
      <c r="AD202" s="1282"/>
      <c r="AE202" s="1282"/>
      <c r="AF202" s="1282"/>
      <c r="AG202" s="1282"/>
      <c r="AH202" s="1282"/>
      <c r="AI202" s="1282"/>
      <c r="AJ202" s="1282"/>
      <c r="AK202" s="1282"/>
      <c r="AL202" s="1282"/>
      <c r="AM202" s="1282"/>
      <c r="AN202" s="1282"/>
      <c r="AO202" s="1282"/>
      <c r="AP202" s="1282"/>
      <c r="AQ202" s="1282"/>
      <c r="AR202" s="1483">
        <v>0</v>
      </c>
    </row>
    <row s="1869" customFormat="1" customHeight="1" ht="17.25" hidden="1">
      <c r="A203" s="337"/>
      <c r="C203" s="336"/>
      <c r="D203" s="2152"/>
      <c r="E203" s="2160"/>
      <c r="F203" s="2162"/>
      <c r="G203" s="2160"/>
      <c r="H203" s="2165"/>
      <c r="I203" s="2167"/>
      <c r="J203" s="2170"/>
      <c r="K203" s="2154"/>
      <c r="L203" s="1964"/>
      <c r="M203" s="1964"/>
      <c r="N203" s="1964"/>
      <c r="O203" s="1964"/>
      <c r="P203" s="1964"/>
      <c r="Q203" s="1964"/>
      <c r="R203" s="1964"/>
      <c r="S203" s="345"/>
      <c r="T203" s="345"/>
      <c r="U203" s="345"/>
      <c r="V203" s="345"/>
      <c r="W203" s="1965"/>
      <c r="X203" s="1282"/>
      <c r="Y203" s="1282"/>
      <c r="Z203" s="1282"/>
      <c r="AA203" s="1282"/>
      <c r="AB203" s="1282"/>
      <c r="AC203" s="1282"/>
      <c r="AD203" s="1282"/>
      <c r="AE203" s="1282"/>
      <c r="AF203" s="1282"/>
      <c r="AG203" s="1282"/>
      <c r="AH203" s="1282"/>
      <c r="AI203" s="1282"/>
      <c r="AJ203" s="1282"/>
      <c r="AK203" s="1282"/>
      <c r="AL203" s="1282"/>
      <c r="AM203" s="1282"/>
      <c r="AN203" s="1282"/>
      <c r="AO203" s="1282"/>
      <c r="AP203" s="1282"/>
      <c r="AQ203" s="1282"/>
      <c r="AR203" s="1483">
        <v>0</v>
      </c>
    </row>
    <row s="1869" customFormat="1" customHeight="1" ht="17.25" hidden="1">
      <c r="A204" s="337"/>
      <c r="C204" s="336"/>
      <c r="D204" s="2152"/>
      <c r="E204" s="2160"/>
      <c r="F204" s="2163"/>
      <c r="G204" s="2160"/>
      <c r="H204" s="1315"/>
      <c r="I204" s="1962"/>
      <c r="J204" s="1962"/>
      <c r="K204" s="1962"/>
      <c r="L204" s="1962"/>
      <c r="M204" s="1962"/>
      <c r="N204" s="1962"/>
      <c r="O204" s="1962"/>
      <c r="P204" s="1962"/>
      <c r="Q204" s="1962"/>
      <c r="R204" s="1962"/>
      <c r="S204" s="1317"/>
      <c r="T204" s="1317"/>
      <c r="U204" s="1317"/>
      <c r="V204" s="1317"/>
      <c r="W204" s="1963"/>
      <c r="X204" s="1282"/>
      <c r="Y204" s="1282"/>
      <c r="Z204" s="1282"/>
      <c r="AA204" s="1282"/>
      <c r="AB204" s="1282"/>
      <c r="AC204" s="1282"/>
      <c r="AD204" s="1282"/>
      <c r="AE204" s="1282"/>
      <c r="AF204" s="1282"/>
      <c r="AG204" s="1282"/>
      <c r="AH204" s="1282"/>
      <c r="AI204" s="1282"/>
      <c r="AJ204" s="1282"/>
      <c r="AK204" s="1282"/>
      <c r="AL204" s="1282"/>
      <c r="AM204" s="1282"/>
      <c r="AN204" s="1282"/>
      <c r="AO204" s="1282"/>
      <c r="AP204" s="1282"/>
      <c r="AQ204" s="1282"/>
      <c r="AR204" s="1483">
        <v>0</v>
      </c>
    </row>
    <row customHeight="1" ht="11.549999999999999">
      <c r="AR205" s="120">
        <v>11</v>
      </c>
    </row>
    <row customHeight="1" ht="11.549999999999999">
      <c r="AR206" s="120">
        <v>11</v>
      </c>
    </row>
    <row customHeight="1" ht="11.549999999999999">
      <c r="AR207" s="120">
        <v>11</v>
      </c>
    </row>
    <row customHeight="1" ht="11.549999999999999">
      <c r="E208" s="1366"/>
      <c r="AR208" s="120">
        <v>11</v>
      </c>
    </row>
    <row customHeight="1" ht="11.549999999999999">
      <c r="E209" s="1366"/>
      <c r="AR209" s="120">
        <v>11</v>
      </c>
    </row>
    <row customHeight="1" ht="11.549999999999999">
      <c r="E210" s="1366"/>
      <c r="AR210" s="120">
        <v>11</v>
      </c>
    </row>
    <row customHeight="1" ht="11.549999999999999">
      <c r="E211" s="1366"/>
      <c r="AR211" s="120">
        <v>11</v>
      </c>
    </row>
    <row customHeight="1" ht="11.549999999999999">
      <c r="E212" s="1366"/>
      <c r="AR212" s="120">
        <v>11</v>
      </c>
    </row>
    <row customHeight="1" ht="11.549999999999999">
      <c r="E213" s="1366"/>
      <c r="AR213" s="120">
        <v>11</v>
      </c>
    </row>
    <row customHeight="1" ht="11.549999999999999">
      <c r="E214" s="1366"/>
      <c r="AR214" s="120">
        <v>11</v>
      </c>
    </row>
    <row customHeight="1" ht="11.25" hidden="1">
      <c r="A215" s="169" t="s">
        <v>85</v>
      </c>
      <c r="B215" s="169">
        <v>0</v>
      </c>
      <c r="C215" s="120">
        <v>3</v>
      </c>
      <c r="D215" s="120">
        <v>6</v>
      </c>
      <c r="E215" s="120">
        <v>42</v>
      </c>
      <c r="F215" s="1299">
        <v>14</v>
      </c>
      <c r="G215" s="120">
        <v>42</v>
      </c>
      <c r="H215" s="120">
        <v>3</v>
      </c>
      <c r="I215" s="120">
        <v>5</v>
      </c>
      <c r="J215" s="120">
        <v>47</v>
      </c>
      <c r="K215" s="120">
        <v>3</v>
      </c>
      <c r="L215" s="120">
        <v>3</v>
      </c>
      <c r="M215" s="120">
        <v>5</v>
      </c>
      <c r="N215" s="120">
        <v>28</v>
      </c>
      <c r="O215" s="120">
        <v>3</v>
      </c>
      <c r="P215" s="120">
        <v>3</v>
      </c>
      <c r="Q215" s="120">
        <v>5</v>
      </c>
      <c r="R215" s="120">
        <v>34</v>
      </c>
      <c r="S215" s="298">
        <v>0</v>
      </c>
      <c r="T215" s="298">
        <v>0</v>
      </c>
      <c r="U215" s="298">
        <v>0</v>
      </c>
      <c r="V215" s="298">
        <v>0</v>
      </c>
      <c r="W215" s="120">
        <v>30</v>
      </c>
      <c r="X215" s="120">
        <v>3</v>
      </c>
      <c r="Y215" s="1275">
        <v>0</v>
      </c>
      <c r="Z215" s="1275">
        <v>0</v>
      </c>
      <c r="AA215" s="1275">
        <v>0</v>
      </c>
      <c r="AB215" s="1275">
        <v>0</v>
      </c>
      <c r="AC215" s="1275">
        <v>0</v>
      </c>
      <c r="AD215" s="1275">
        <v>0</v>
      </c>
      <c r="AE215" s="1275">
        <v>0</v>
      </c>
      <c r="AF215" s="1275">
        <v>0</v>
      </c>
      <c r="AG215" s="1275">
        <v>0</v>
      </c>
      <c r="AH215" s="1275">
        <v>0</v>
      </c>
      <c r="AI215" s="1275">
        <v>0</v>
      </c>
      <c r="AJ215" s="1275">
        <v>0</v>
      </c>
      <c r="AK215" s="1275">
        <v>0</v>
      </c>
      <c r="AL215" s="1275">
        <v>0</v>
      </c>
      <c r="AM215" s="1275">
        <v>0</v>
      </c>
      <c r="AN215" s="1275">
        <v>0</v>
      </c>
      <c r="AO215" s="1275">
        <v>0</v>
      </c>
      <c r="AP215" s="1275">
        <v>0</v>
      </c>
      <c r="AQ215" s="1275">
        <v>0</v>
      </c>
      <c r="AR215" s="120">
        <v>11</v>
      </c>
    </row>
  </sheetData>
  <sheetProtection formatColumns="0" formatRows="0" autoFilter="0" sort="0" insertRows="0" insertColumns="1" deleteRows="0" deleteColumns="0"/>
  <mergeCells count="563">
    <mergeCell ref="R23:R24"/>
    <mergeCell ref="S23:S24"/>
    <mergeCell ref="G23:G27"/>
    <mergeCell ref="H23:H26"/>
    <mergeCell ref="I23:I26"/>
    <mergeCell ref="J23:J26"/>
    <mergeCell ref="K23:K26"/>
    <mergeCell ref="L23:L25"/>
    <mergeCell ref="M23:M25"/>
    <mergeCell ref="N23:N25"/>
    <mergeCell ref="O23:O25"/>
    <mergeCell ref="M200:M202"/>
    <mergeCell ref="N200:N202"/>
    <mergeCell ref="O200:O202"/>
    <mergeCell ref="P200:P201"/>
    <mergeCell ref="Q200:Q201"/>
    <mergeCell ref="R200:R201"/>
    <mergeCell ref="S200:S201"/>
    <mergeCell ref="D200:D204"/>
    <mergeCell ref="E200:E204"/>
    <mergeCell ref="F200:F204"/>
    <mergeCell ref="G200:G204"/>
    <mergeCell ref="H200:H203"/>
    <mergeCell ref="I200:I203"/>
    <mergeCell ref="J200:J203"/>
    <mergeCell ref="K200:K203"/>
    <mergeCell ref="L200:L202"/>
    <mergeCell ref="N168:N170"/>
    <mergeCell ref="O168:O170"/>
    <mergeCell ref="P168:P169"/>
    <mergeCell ref="Q168:Q169"/>
    <mergeCell ref="R168:R169"/>
    <mergeCell ref="S168:S169"/>
    <mergeCell ref="D184:D188"/>
    <mergeCell ref="E184:E188"/>
    <mergeCell ref="F184:F188"/>
    <mergeCell ref="G184:G188"/>
    <mergeCell ref="H184:H187"/>
    <mergeCell ref="I184:I187"/>
    <mergeCell ref="J184:J187"/>
    <mergeCell ref="K184:K187"/>
    <mergeCell ref="L184:L186"/>
    <mergeCell ref="M184:M186"/>
    <mergeCell ref="N184:N186"/>
    <mergeCell ref="O184:O186"/>
    <mergeCell ref="P184:P185"/>
    <mergeCell ref="Q184:Q185"/>
    <mergeCell ref="R184:R185"/>
    <mergeCell ref="S184:S185"/>
    <mergeCell ref="D168:D172"/>
    <mergeCell ref="E168:E172"/>
    <mergeCell ref="F168:F172"/>
    <mergeCell ref="G168:G172"/>
    <mergeCell ref="H168:H171"/>
    <mergeCell ref="I168:I171"/>
    <mergeCell ref="J168:J171"/>
    <mergeCell ref="K168:K171"/>
    <mergeCell ref="L168:L170"/>
    <mergeCell ref="S195:S196"/>
    <mergeCell ref="D195:D199"/>
    <mergeCell ref="E195:E199"/>
    <mergeCell ref="F195:F199"/>
    <mergeCell ref="G195:G199"/>
    <mergeCell ref="H195:H198"/>
    <mergeCell ref="I195:I198"/>
    <mergeCell ref="J195:J198"/>
    <mergeCell ref="K195:K198"/>
    <mergeCell ref="L195:L197"/>
    <mergeCell ref="H190:H193"/>
    <mergeCell ref="I190:I193"/>
    <mergeCell ref="J190:J193"/>
    <mergeCell ref="K190:K193"/>
    <mergeCell ref="L190:L192"/>
    <mergeCell ref="M190:M192"/>
    <mergeCell ref="N190:N192"/>
    <mergeCell ref="M195:M197"/>
    <mergeCell ref="N195:N197"/>
    <mergeCell ref="O195:O197"/>
    <mergeCell ref="P190:P191"/>
    <mergeCell ref="Q190:Q191"/>
    <mergeCell ref="R190:R191"/>
    <mergeCell ref="P195:P196"/>
    <mergeCell ref="Q195:Q196"/>
    <mergeCell ref="R195:R196"/>
    <mergeCell ref="S190:S191"/>
    <mergeCell ref="D190:D194"/>
    <mergeCell ref="E190:E194"/>
    <mergeCell ref="F190:F194"/>
    <mergeCell ref="G190:G194"/>
    <mergeCell ref="M179:M181"/>
    <mergeCell ref="N179:N181"/>
    <mergeCell ref="O179:O181"/>
    <mergeCell ref="P179:P180"/>
    <mergeCell ref="Q179:Q180"/>
    <mergeCell ref="R179:R180"/>
    <mergeCell ref="S179:S180"/>
    <mergeCell ref="D179:D183"/>
    <mergeCell ref="E179:E183"/>
    <mergeCell ref="F179:F183"/>
    <mergeCell ref="G179:G183"/>
    <mergeCell ref="H179:H182"/>
    <mergeCell ref="I179:I182"/>
    <mergeCell ref="J179:J182"/>
    <mergeCell ref="K179:K182"/>
    <mergeCell ref="L179:L181"/>
    <mergeCell ref="O190:O192"/>
    <mergeCell ref="R13:R14"/>
    <mergeCell ref="S13:S14"/>
    <mergeCell ref="M48:M50"/>
    <mergeCell ref="N48:N50"/>
    <mergeCell ref="O48:O50"/>
    <mergeCell ref="N38:N40"/>
    <mergeCell ref="D174:D178"/>
    <mergeCell ref="E174:E178"/>
    <mergeCell ref="F174:F178"/>
    <mergeCell ref="G174:G178"/>
    <mergeCell ref="H174:H177"/>
    <mergeCell ref="I174:I177"/>
    <mergeCell ref="J174:J177"/>
    <mergeCell ref="K174:K177"/>
    <mergeCell ref="L174:L176"/>
    <mergeCell ref="P48:P49"/>
    <mergeCell ref="Q48:Q49"/>
    <mergeCell ref="R48:R49"/>
    <mergeCell ref="S48:S49"/>
    <mergeCell ref="S28:S29"/>
    <mergeCell ref="S18:S19"/>
    <mergeCell ref="M174:M176"/>
    <mergeCell ref="N174:N176"/>
    <mergeCell ref="O174:O176"/>
    <mergeCell ref="P174:P175"/>
    <mergeCell ref="Q174:Q175"/>
    <mergeCell ref="R174:R175"/>
    <mergeCell ref="S174:S175"/>
    <mergeCell ref="E146:W146"/>
    <mergeCell ref="E138:W138"/>
    <mergeCell ref="E139:W139"/>
    <mergeCell ref="E140:W140"/>
    <mergeCell ref="E141:W141"/>
    <mergeCell ref="E142:W142"/>
    <mergeCell ref="L148:L150"/>
    <mergeCell ref="M148:M150"/>
    <mergeCell ref="E144:W144"/>
    <mergeCell ref="E145:W145"/>
    <mergeCell ref="K158:K161"/>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126"/>
    <mergeCell ref="E53:E126"/>
    <mergeCell ref="F53:F126"/>
    <mergeCell ref="N43:N45"/>
    <mergeCell ref="G38:G42"/>
    <mergeCell ref="K38:K41"/>
    <mergeCell ref="G53:G126"/>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48:D152"/>
    <mergeCell ref="E148:E152"/>
    <mergeCell ref="D153:D157"/>
    <mergeCell ref="E153:E157"/>
    <mergeCell ref="F153:F157"/>
    <mergeCell ref="G153:G157"/>
    <mergeCell ref="H153:H156"/>
    <mergeCell ref="I153:I156"/>
    <mergeCell ref="J153:J156"/>
    <mergeCell ref="F148:F152"/>
    <mergeCell ref="G148:G152"/>
    <mergeCell ref="H148:H151"/>
    <mergeCell ref="I148:I151"/>
    <mergeCell ref="J148:J151"/>
    <mergeCell ref="K13:K16"/>
    <mergeCell ref="G18:G22"/>
    <mergeCell ref="K18:K21"/>
    <mergeCell ref="N28:N30"/>
    <mergeCell ref="L158:L160"/>
    <mergeCell ref="Q153:Q154"/>
    <mergeCell ref="R153:R154"/>
    <mergeCell ref="S153:S154"/>
    <mergeCell ref="K153:K156"/>
    <mergeCell ref="K148:K151"/>
    <mergeCell ref="N153:N155"/>
    <mergeCell ref="O153:O155"/>
    <mergeCell ref="P153:P154"/>
    <mergeCell ref="S158:S159"/>
    <mergeCell ref="N158:N160"/>
    <mergeCell ref="O158:O160"/>
    <mergeCell ref="P158:P159"/>
    <mergeCell ref="Q158:Q159"/>
    <mergeCell ref="R158:R159"/>
    <mergeCell ref="L153:L155"/>
    <mergeCell ref="N148:N150"/>
    <mergeCell ref="O148:O150"/>
    <mergeCell ref="P148:P149"/>
    <mergeCell ref="Q148:Q149"/>
    <mergeCell ref="R148:R149"/>
    <mergeCell ref="S148:S149"/>
    <mergeCell ref="M153:M155"/>
    <mergeCell ref="M163:M165"/>
    <mergeCell ref="N163:N165"/>
    <mergeCell ref="O163:O165"/>
    <mergeCell ref="P163:P164"/>
    <mergeCell ref="Q163:Q164"/>
    <mergeCell ref="R163:R164"/>
    <mergeCell ref="S163:S164"/>
    <mergeCell ref="D158:D162"/>
    <mergeCell ref="E158:E162"/>
    <mergeCell ref="M158:M160"/>
    <mergeCell ref="D163:D167"/>
    <mergeCell ref="E163:E167"/>
    <mergeCell ref="F163:F167"/>
    <mergeCell ref="G163:G167"/>
    <mergeCell ref="H163:H166"/>
    <mergeCell ref="I163:I166"/>
    <mergeCell ref="J163:J166"/>
    <mergeCell ref="K163:K166"/>
    <mergeCell ref="L163:L165"/>
    <mergeCell ref="F158:F162"/>
    <mergeCell ref="G158:G162"/>
    <mergeCell ref="H158:H161"/>
    <mergeCell ref="I158:I161"/>
    <mergeCell ref="J158:J161"/>
    <mergeCell ref="S132:S133"/>
    <mergeCell ref="E127:E131"/>
    <mergeCell ref="F127:F131"/>
    <mergeCell ref="G127:G131"/>
    <mergeCell ref="H127:H130"/>
    <mergeCell ref="I127:I130"/>
    <mergeCell ref="J127:J130"/>
    <mergeCell ref="K127:K130"/>
    <mergeCell ref="L127:L129"/>
    <mergeCell ref="D127:D131"/>
    <mergeCell ref="M168:M170"/>
    <mergeCell ref="M127:M129"/>
    <mergeCell ref="N127:N129"/>
    <mergeCell ref="O127:O129"/>
    <mergeCell ref="P127:P128"/>
    <mergeCell ref="Q127:Q128"/>
    <mergeCell ref="R127:R128"/>
    <mergeCell ref="S127:S128"/>
    <mergeCell ref="D132:D136"/>
    <mergeCell ref="E132:E136"/>
    <mergeCell ref="F132:F136"/>
    <mergeCell ref="G132:G136"/>
    <mergeCell ref="H132:H135"/>
    <mergeCell ref="I132:I135"/>
    <mergeCell ref="J132:J135"/>
    <mergeCell ref="K132:K135"/>
    <mergeCell ref="L132:L134"/>
    <mergeCell ref="M132:M134"/>
    <mergeCell ref="N132:N134"/>
    <mergeCell ref="O132:O134"/>
    <mergeCell ref="P132:P133"/>
    <mergeCell ref="Q132:Q133"/>
    <mergeCell ref="R132:R133"/>
    <mergeCell ref="O53:O55"/>
    <mergeCell ref="S53:S54"/>
    <mergeCell ref="P53:P54"/>
    <mergeCell ref="Q53:Q54"/>
    <mergeCell ref="R53:R54"/>
    <mergeCell ref="K53:K103"/>
    <mergeCell ref="M53:M55"/>
    <mergeCell ref="L53:L55"/>
    <mergeCell ref="N53:N55"/>
    <mergeCell ref="J53:J103"/>
    <mergeCell ref="H53:H103"/>
    <mergeCell ref="I53:I103"/>
    <mergeCell ref="L56:L58"/>
    <mergeCell ref="M56:M58"/>
    <mergeCell ref="N56:N58"/>
    <mergeCell ref="O56:O58"/>
    <mergeCell ref="S56:S57"/>
    <mergeCell ref="P56:P57"/>
    <mergeCell ref="Q56:Q57"/>
    <mergeCell ref="R56:R57"/>
    <mergeCell ref="H104:H125"/>
    <mergeCell ref="I104:I125"/>
    <mergeCell ref="J104:J125"/>
    <mergeCell ref="K104:K125"/>
    <mergeCell ref="L104:L106"/>
    <mergeCell ref="M104:M106"/>
    <mergeCell ref="N104:N106"/>
    <mergeCell ref="S104:S105"/>
    <mergeCell ref="O104:O106"/>
    <mergeCell ref="P104:P105"/>
    <mergeCell ref="Q104:Q105"/>
    <mergeCell ref="R104:R105"/>
    <mergeCell ref="L59:L63"/>
    <mergeCell ref="M59:M63"/>
    <mergeCell ref="N59:N63"/>
    <mergeCell ref="O59:O63"/>
    <mergeCell ref="S59:S60"/>
    <mergeCell ref="P59:P60"/>
    <mergeCell ref="Q59:Q60"/>
    <mergeCell ref="R59:R60"/>
    <mergeCell ref="L107:L109"/>
    <mergeCell ref="M107:M109"/>
    <mergeCell ref="N107:N109"/>
    <mergeCell ref="O107:O109"/>
    <mergeCell ref="S107:S108"/>
    <mergeCell ref="P107:P108"/>
    <mergeCell ref="Q107:Q108"/>
    <mergeCell ref="R107:R108"/>
    <mergeCell ref="L64:L66"/>
    <mergeCell ref="M64:M66"/>
    <mergeCell ref="N64:N66"/>
    <mergeCell ref="O64:O66"/>
    <mergeCell ref="S64:S65"/>
    <mergeCell ref="P64:P65"/>
    <mergeCell ref="Q64:Q65"/>
    <mergeCell ref="R64:R65"/>
    <mergeCell ref="L110:L112"/>
    <mergeCell ref="M110:M112"/>
    <mergeCell ref="N110:N112"/>
    <mergeCell ref="O110:O112"/>
    <mergeCell ref="S110:S111"/>
    <mergeCell ref="P110:P111"/>
    <mergeCell ref="Q110:Q111"/>
    <mergeCell ref="R110:R111"/>
    <mergeCell ref="L67:L69"/>
    <mergeCell ref="M67:M69"/>
    <mergeCell ref="N67:N69"/>
    <mergeCell ref="O67:O69"/>
    <mergeCell ref="S67:S68"/>
    <mergeCell ref="P67:P68"/>
    <mergeCell ref="Q67:Q68"/>
    <mergeCell ref="R67:R68"/>
    <mergeCell ref="S61:S62"/>
    <mergeCell ref="P61:P62"/>
    <mergeCell ref="Q61:Q62"/>
    <mergeCell ref="R61:R62"/>
    <mergeCell ref="L70:L72"/>
    <mergeCell ref="M70:M72"/>
    <mergeCell ref="N70:N72"/>
    <mergeCell ref="O70:O72"/>
    <mergeCell ref="S70:S71"/>
    <mergeCell ref="P70:P71"/>
    <mergeCell ref="Q70:Q71"/>
    <mergeCell ref="R70:R71"/>
    <mergeCell ref="L73:L75"/>
    <mergeCell ref="M73:M75"/>
    <mergeCell ref="N73:N75"/>
    <mergeCell ref="O73:O75"/>
    <mergeCell ref="S73:S74"/>
    <mergeCell ref="P73:P74"/>
    <mergeCell ref="Q73:Q74"/>
    <mergeCell ref="R73:R74"/>
    <mergeCell ref="L113:L115"/>
    <mergeCell ref="M113:M115"/>
    <mergeCell ref="N113:N115"/>
    <mergeCell ref="O113:O115"/>
    <mergeCell ref="S113:S114"/>
    <mergeCell ref="P113:P114"/>
    <mergeCell ref="Q113:Q114"/>
    <mergeCell ref="R113:R114"/>
    <mergeCell ref="L76:L78"/>
    <mergeCell ref="M76:M78"/>
    <mergeCell ref="N76:N78"/>
    <mergeCell ref="O76:O78"/>
    <mergeCell ref="S76:S77"/>
    <mergeCell ref="P76:P77"/>
    <mergeCell ref="Q76:Q77"/>
    <mergeCell ref="R76:R77"/>
    <mergeCell ref="L79:L81"/>
    <mergeCell ref="M79:M81"/>
    <mergeCell ref="N79:N81"/>
    <mergeCell ref="O79:O81"/>
    <mergeCell ref="S79:S80"/>
    <mergeCell ref="P79:P80"/>
    <mergeCell ref="Q79:Q80"/>
    <mergeCell ref="R79:R80"/>
    <mergeCell ref="L82:L84"/>
    <mergeCell ref="M82:M84"/>
    <mergeCell ref="N82:N84"/>
    <mergeCell ref="O82:O84"/>
    <mergeCell ref="S82:S83"/>
    <mergeCell ref="P82:P83"/>
    <mergeCell ref="Q82:Q83"/>
    <mergeCell ref="R82:R83"/>
    <mergeCell ref="L85:L87"/>
    <mergeCell ref="M85:M87"/>
    <mergeCell ref="N85:N87"/>
    <mergeCell ref="O85:O87"/>
    <mergeCell ref="S85:S86"/>
    <mergeCell ref="P85:P86"/>
    <mergeCell ref="Q85:Q86"/>
    <mergeCell ref="R85:R86"/>
    <mergeCell ref="L88:L90"/>
    <mergeCell ref="M88:M90"/>
    <mergeCell ref="N88:N90"/>
    <mergeCell ref="O88:O90"/>
    <mergeCell ref="S88:S89"/>
    <mergeCell ref="P88:P89"/>
    <mergeCell ref="Q88:Q89"/>
    <mergeCell ref="R88:R89"/>
    <mergeCell ref="L91:L93"/>
    <mergeCell ref="M91:M93"/>
    <mergeCell ref="N91:N93"/>
    <mergeCell ref="O91:O93"/>
    <mergeCell ref="S91:S92"/>
    <mergeCell ref="P91:P92"/>
    <mergeCell ref="Q91:Q92"/>
    <mergeCell ref="R91:R92"/>
    <mergeCell ref="L94:L96"/>
    <mergeCell ref="M94:M96"/>
    <mergeCell ref="N94:N96"/>
    <mergeCell ref="O94:O96"/>
    <mergeCell ref="S94:S95"/>
    <mergeCell ref="P94:P95"/>
    <mergeCell ref="Q94:Q95"/>
    <mergeCell ref="R94:R95"/>
    <mergeCell ref="L97:L99"/>
    <mergeCell ref="M97:M99"/>
    <mergeCell ref="N97:N99"/>
    <mergeCell ref="O97:O99"/>
    <mergeCell ref="S97:S98"/>
    <mergeCell ref="P97:P98"/>
    <mergeCell ref="Q97:Q98"/>
    <mergeCell ref="R97:R98"/>
    <mergeCell ref="L100:L102"/>
    <mergeCell ref="M100:M102"/>
    <mergeCell ref="N100:N102"/>
    <mergeCell ref="O100:O102"/>
    <mergeCell ref="S100:S101"/>
    <mergeCell ref="P100:P101"/>
    <mergeCell ref="Q100:Q101"/>
    <mergeCell ref="R100:R101"/>
    <mergeCell ref="L116:L118"/>
    <mergeCell ref="M116:M118"/>
    <mergeCell ref="N116:N118"/>
    <mergeCell ref="O116:O118"/>
    <mergeCell ref="S116:S117"/>
    <mergeCell ref="P116:P117"/>
    <mergeCell ref="Q116:Q117"/>
    <mergeCell ref="R116:R117"/>
    <mergeCell ref="L119:L121"/>
    <mergeCell ref="M119:M121"/>
    <mergeCell ref="N119:N121"/>
    <mergeCell ref="O119:O121"/>
    <mergeCell ref="S119:S120"/>
    <mergeCell ref="P119:P120"/>
    <mergeCell ref="Q119:Q120"/>
    <mergeCell ref="R119:R120"/>
    <mergeCell ref="L122:L124"/>
    <mergeCell ref="M122:M124"/>
    <mergeCell ref="N122:N124"/>
    <mergeCell ref="O122:O124"/>
    <mergeCell ref="S122:S123"/>
    <mergeCell ref="P122:P123"/>
    <mergeCell ref="Q122:Q123"/>
    <mergeCell ref="R122:R123"/>
  </mergeCells>
  <dataValidations count="4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Выберите виды деятельности, выполнив двойной щелчок левой кнопки мыши по ячейке." sqref="G121"/>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Для выбора выполните двойной щелчок левой клавиши мыши по соответствующей ячейке." sqref="S120"/>
    <dataValidation type="textLength" operator="lessThanOrEqual" allowBlank="1" showInputMessage="1" showErrorMessage="1" errorTitle="Ошибка" error="Допускается ввод не более 900 символов!" sqref="R12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0"/>
    <dataValidation type="textLength" operator="lessThanOrEqual" allowBlank="1" showInputMessage="1" showErrorMessage="1" errorTitle="Ошибка" error="Допускается ввод не более 900 символов!" sqref="J120">
      <formula1>900</formula1>
    </dataValidation>
    <dataValidation allowBlank="1" showInputMessage="1" showErrorMessage="1" prompt="Выберите виды деятельности, выполнив двойной щелчок левой кнопки мыши по ячейке." sqref="G120"/>
    <dataValidation allowBlank="1" showInputMessage="1" showErrorMessage="1" prompt="Для выбора выполните двойной щелчок левой клавиши мыши по соответствующей ячейке." sqref="F120"/>
    <dataValidation type="textLength" operator="lessThanOrEqual" allowBlank="1" showInputMessage="1" showErrorMessage="1" errorTitle="Ошибка" error="Допускается ввод не более 900 символов!" sqref="W119">
      <formula1>900</formula1>
    </dataValidation>
    <dataValidation type="textLength" operator="lessThanOrEqual" allowBlank="1" showInputMessage="1" showErrorMessage="1" errorTitle="Ошибка" error="Допускается ввод не более 900 символов!" sqref="V119">
      <formula1>900</formula1>
    </dataValidation>
    <dataValidation allowBlank="1" showInputMessage="1" showErrorMessage="1" prompt="Для выбора выполните двойной щелчок левой клавиши мыши по соответствующей ячейке." sqref="S119"/>
    <dataValidation type="textLength" operator="lessThanOrEqual" allowBlank="1" showInputMessage="1" showErrorMessage="1" errorTitle="Ошибка" error="Допускается ввод не более 900 символов!" sqref="R119">
      <formula1>900</formula1>
    </dataValidation>
    <dataValidation allowBlank="1" showInputMessage="1" showErrorMessage="1" prompt="Для выбора выполните двойной щелчок левой клавиши мыши по соответствующей ячейке." sqref="O1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
    <dataValidation allowBlank="1" showInputMessage="1" showErrorMessage="1" prompt="Для выбора выполните двойной щелчок левой клавиши мыши по соответствующей ячейке." sqref="K119"/>
    <dataValidation type="textLength" operator="lessThanOrEqual" allowBlank="1" showInputMessage="1" showErrorMessage="1" errorTitle="Ошибка" error="Допускается ввод не более 900 символов!" sqref="J119">
      <formula1>900</formula1>
    </dataValidation>
    <dataValidation allowBlank="1" showInputMessage="1" showErrorMessage="1" prompt="Выберите виды деятельности, выполнив двойной щелчок левой кнопки мыши по ячейке." sqref="G119"/>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 allowBlank="1" showInputMessage="1" showErrorMessage="1" prompt="Выберите виды деятельности, выполнив двойной щелчок левой кнопки мыши по ячейке." sqref="G118"/>
    <dataValidation allowBlank="1" showInputMessage="1" showErrorMessage="1" prompt="Для выбора выполните двойной щелчок левой клавиши мыши по соответствующей ячейке." sqref="F118"/>
    <dataValidation allowBlank="1" showInputMessage="1" showErrorMessage="1" prompt="Для выбора выполните двойной щелчок левой клавиши мыши по соответствующей ячейке." sqref="S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Выберите виды деятельности, выполнив двойной щелчок левой кнопки мыши по ячейке." sqref="G117"/>
    <dataValidation allowBlank="1" showInputMessage="1" showErrorMessage="1" prompt="Для выбора выполните двойной щелчок левой клавиши мыши по соответствующей ячейке." sqref="F117"/>
    <dataValidation type="textLength" operator="lessThanOrEqual" allowBlank="1" showInputMessage="1" showErrorMessage="1" errorTitle="Ошибка" error="Допускается ввод не более 900 символов!" sqref="W116">
      <formula1>900</formula1>
    </dataValidation>
    <dataValidation type="textLength" operator="lessThanOrEqual" allowBlank="1" showInputMessage="1" showErrorMessage="1" errorTitle="Ошибка" error="Допускается ввод не более 900 символов!" sqref="V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O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allowBlank="1" showInputMessage="1" showErrorMessage="1" prompt="Для выбора выполните двойной щелчок левой клавиши мыши по соответствующей ячейке." sqref="K116"/>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Выберите виды деятельности, выполнив двойной щелчок левой кнопки мыши по ячейке." sqref="G102"/>
    <dataValidation allowBlank="1" showInputMessage="1" showErrorMessage="1" prompt="Для выбора выполните двойной щелчок левой клавиши мыши по соответствующей ячейке." sqref="F102"/>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Выберите виды деятельности, выполнив двойной щелчок левой кнопки мыши по ячейке." sqref="G101"/>
    <dataValidation allowBlank="1" showInputMessage="1" showErrorMessage="1" prompt="Для выбора выполните двойной щелчок левой клавиши мыши по соответствующей ячейке." sqref="F101"/>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V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O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K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Выберите виды деятельности, выполнив двойной щелчок левой кнопки мыши по ячейке." sqref="G100"/>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Выберите виды деятельности, выполнив двойной щелчок левой кнопки мыши по ячейке." sqref="G99"/>
    <dataValidation allowBlank="1" showInputMessage="1" showErrorMessage="1" prompt="Для выбора выполните двойной щелчок левой клавиши мыши по соответствующей ячейке." sqref="F99"/>
    <dataValidation allowBlank="1" showInputMessage="1" showErrorMessage="1" prompt="Для выбора выполните двойной щелчок левой клавиши мыши по соответствующей ячейке." sqref="S98"/>
    <dataValidation type="textLength" operator="lessThanOrEqual" allowBlank="1" showInputMessage="1" showErrorMessage="1" errorTitle="Ошибка" error="Допускается ввод не более 900 символов!" sqref="R9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type="textLength" operator="lessThanOrEqual" allowBlank="1" showInputMessage="1" showErrorMessage="1" errorTitle="Ошибка" error="Допускается ввод не более 900 символов!" sqref="J98">
      <formula1>900</formula1>
    </dataValidation>
    <dataValidation allowBlank="1" showInputMessage="1" showErrorMessage="1" prompt="Выберите виды деятельности, выполнив двойной щелчок левой кнопки мыши по ячейке." sqref="G98"/>
    <dataValidation allowBlank="1" showInputMessage="1" showErrorMessage="1" prompt="Для выбора выполните двойной щелчок левой клавиши мыши по соответствующей ячейке." sqref="F98"/>
    <dataValidation type="textLength" operator="lessThanOrEqual" allowBlank="1" showInputMessage="1" showErrorMessage="1" errorTitle="Ошибка" error="Допускается ввод не более 900 символов!" sqref="W97">
      <formula1>900</formula1>
    </dataValidation>
    <dataValidation type="textLength" operator="lessThanOrEqual" allowBlank="1" showInputMessage="1" showErrorMessage="1" errorTitle="Ошибка" error="Допускается ввод не более 900 символов!" sqref="V97">
      <formula1>900</formula1>
    </dataValidation>
    <dataValidation allowBlank="1" showInputMessage="1" showErrorMessage="1" prompt="Для выбора выполните двойной щелчок левой клавиши мыши по соответствующей ячейке." sqref="S97"/>
    <dataValidation type="textLength" operator="lessThanOrEqual" allowBlank="1" showInputMessage="1" showErrorMessage="1" errorTitle="Ошибка" error="Допускается ввод не более 900 символов!" sqref="R97">
      <formula1>900</formula1>
    </dataValidation>
    <dataValidation allowBlank="1" showInputMessage="1" showErrorMessage="1" prompt="Для выбора выполните двойной щелчок левой клавиши мыши по соответствующей ячейке." sqref="O9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allowBlank="1" showInputMessage="1" showErrorMessage="1" prompt="Для выбора выполните двойной щелчок левой клавиши мыши по соответствующей ячейке." sqref="K97"/>
    <dataValidation type="textLength" operator="lessThanOrEqual" allowBlank="1" showInputMessage="1" showErrorMessage="1" errorTitle="Ошибка" error="Допускается ввод не более 900 символов!" sqref="J97">
      <formula1>900</formula1>
    </dataValidation>
    <dataValidation allowBlank="1" showInputMessage="1" showErrorMessage="1" prompt="Выберите виды деятельности, выполнив двойной щелчок левой кнопки мыши по ячейке." sqref="G97"/>
    <dataValidation allowBlank="1" showInputMessage="1" showErrorMessage="1" prompt="Для выбора выполните двойной щелчок левой клавиши мыши по соответствующей ячейке." sqref="F9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allowBlank="1" showInputMessage="1" showErrorMessage="1" prompt="Выберите виды деятельности, выполнив двойной щелчок левой кнопки мыши по ячейке." sqref="G96"/>
    <dataValidation allowBlank="1" showInputMessage="1" showErrorMessage="1" prompt="Для выбора выполните двойной щелчок левой клавиши мыши по соответствующей ячейке." sqref="F96"/>
    <dataValidation allowBlank="1" showInputMessage="1" showErrorMessage="1" prompt="Для выбора выполните двойной щелчок левой клавиши мыши по соответствующей ячейке." sqref="S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Выберите виды деятельности, выполнив двойной щелчок левой кнопки мыши по ячейке." sqref="G95"/>
    <dataValidation allowBlank="1" showInputMessage="1" showErrorMessage="1" prompt="Для выбора выполните двойной щелчок левой клавиши мыши по соответствующей ячейке." sqref="F95"/>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V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O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K94"/>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Выберите виды деятельности, выполнив двойной щелчок левой кнопки мыши по ячейке." sqref="G94"/>
    <dataValidation allowBlank="1" showInputMessage="1" showErrorMessage="1" prompt="Для выбора выполните двойной щелчок левой клавиши мыши по соответствующей ячейке." sqref="F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allowBlank="1" showInputMessage="1" showErrorMessage="1" prompt="Выберите виды деятельности, выполнив двойной щелчок левой кнопки мыши по ячейке." sqref="G93"/>
    <dataValidation allowBlank="1" showInputMessage="1" showErrorMessage="1" prompt="Для выбора выполните двойной щелчок левой клавиши мыши по соответствующей ячейке." sqref="F93"/>
    <dataValidation allowBlank="1" showInputMessage="1" showErrorMessage="1" prompt="Для выбора выполните двойной щелчок левой клавиши мыши по соответствующей ячейке." sqref="S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Выберите виды деятельности, выполнив двойной щелчок левой кнопки мыши по ячейке." sqref="G92"/>
    <dataValidation allowBlank="1" showInputMessage="1" showErrorMessage="1" prompt="Для выбора выполните двойной щелчок левой клавиши мыши по соответствующей ячейке." sqref="F92"/>
    <dataValidation type="textLength" operator="lessThanOrEqual" allowBlank="1" showInputMessage="1" showErrorMessage="1" errorTitle="Ошибка" error="Допускается ввод не более 900 символов!" sqref="W91">
      <formula1>900</formula1>
    </dataValidation>
    <dataValidation type="textLength" operator="lessThanOrEqual" allowBlank="1" showInputMessage="1" showErrorMessage="1" errorTitle="Ошибка" error="Допускается ввод не более 900 символов!" sqref="V91">
      <formula1>900</formula1>
    </dataValidation>
    <dataValidation allowBlank="1" showInputMessage="1" showErrorMessage="1" prompt="Для выбора выполните двойной щелчок левой клавиши мыши по соответствующей ячейке." sqref="S91"/>
    <dataValidation type="textLength" operator="lessThanOrEqual" allowBlank="1" showInputMessage="1" showErrorMessage="1" errorTitle="Ошибка" error="Допускается ввод не более 900 символов!" sqref="R91">
      <formula1>900</formula1>
    </dataValidation>
    <dataValidation allowBlank="1" showInputMessage="1" showErrorMessage="1" prompt="Для выбора выполните двойной щелчок левой клавиши мыши по соответствующей ячейке." sqref="O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K91"/>
    <dataValidation type="textLength" operator="lessThanOrEqual" allowBlank="1" showInputMessage="1" showErrorMessage="1" errorTitle="Ошибка" error="Допускается ввод не более 900 символов!" sqref="J91">
      <formula1>900</formula1>
    </dataValidation>
    <dataValidation allowBlank="1" showInputMessage="1" showErrorMessage="1" prompt="Выберите виды деятельности, выполнив двойной щелчок левой кнопки мыши по ячейке." sqref="G91"/>
    <dataValidation allowBlank="1" showInputMessage="1" showErrorMessage="1" prompt="Для выбора выполните двойной щелчок левой клавиши мыши по соответствующей ячейке." sqref="F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Выберите виды деятельности, выполнив двойной щелчок левой кнопки мыши по ячейке." sqref="G87"/>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Для выбора выполните двойной щелчок левой клавиши мыши по соответствующей ячейке." sqref="S86"/>
    <dataValidation type="textLength" operator="lessThanOrEqual" allowBlank="1" showInputMessage="1" showErrorMessage="1" errorTitle="Ошибка" error="Допускается ввод не более 900 символов!" sqref="R8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type="textLength" operator="lessThanOrEqual" allowBlank="1" showInputMessage="1" showErrorMessage="1" errorTitle="Ошибка" error="Допускается ввод не более 900 символов!" sqref="J86">
      <formula1>900</formula1>
    </dataValidation>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type="textLength" operator="lessThanOrEqual" allowBlank="1" showInputMessage="1" showErrorMessage="1" errorTitle="Ошибка" error="Допускается ввод не более 900 символов!" sqref="W85">
      <formula1>900</formula1>
    </dataValidation>
    <dataValidation type="textLength" operator="lessThanOrEqual" allowBlank="1" showInputMessage="1" showErrorMessage="1" errorTitle="Ошибка" error="Допускается ввод не более 900 символов!" sqref="V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type="textLength" operator="lessThanOrEqual" allowBlank="1" showInputMessage="1" showErrorMessage="1" errorTitle="Ошибка" error="Допускается ввод не более 900 символов!" sqref="W82">
      <formula1>900</formula1>
    </dataValidation>
    <dataValidation type="textLength" operator="lessThanOrEqual" allowBlank="1" showInputMessage="1" showErrorMessage="1" errorTitle="Ошибка" error="Допускается ввод не более 900 символов!" sqref="V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O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K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Выберите виды деятельности, выполнив двойной щелчок левой кнопки мыши по ячейке." sqref="G8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Выберите виды деятельности, выполнив двойной щелчок левой кнопки мыши по ячейке." sqref="G72"/>
    <dataValidation allowBlank="1" showInputMessage="1" showErrorMessage="1" prompt="Для выбора выполните двойной щелчок левой клавиши мыши по соответствующей ячейке." sqref="F72"/>
    <dataValidation allowBlank="1" showInputMessage="1" showErrorMessage="1" prompt="Для выбора выполните двойной щелчок левой клавиши мыши по соответствующей ячейке." sqref="S71"/>
    <dataValidation type="textLength" operator="lessThanOrEqual" allowBlank="1" showInputMessage="1" showErrorMessage="1" errorTitle="Ошибка" error="Допускается ввод не более 900 символов!" sqref="R7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type="textLength" operator="lessThanOrEqual" allowBlank="1" showInputMessage="1" showErrorMessage="1" errorTitle="Ошибка" error="Допускается ввод не более 900 символов!" sqref="J71">
      <formula1>900</formula1>
    </dataValidation>
    <dataValidation allowBlank="1" showInputMessage="1" showErrorMessage="1" prompt="Выберите виды деятельности, выполнив двойной щелчок левой кнопки мыши по ячейке." sqref="G71"/>
    <dataValidation allowBlank="1" showInputMessage="1" showErrorMessage="1" prompt="Для выбора выполните двойной щелчок левой клавиши мыши по соответствующей ячейке." sqref="F71"/>
    <dataValidation type="textLength" operator="lessThanOrEqual" allowBlank="1" showInputMessage="1" showErrorMessage="1" errorTitle="Ошибка" error="Допускается ввод не более 900 символов!" sqref="W70">
      <formula1>900</formula1>
    </dataValidation>
    <dataValidation type="textLength" operator="lessThanOrEqual" allowBlank="1" showInputMessage="1" showErrorMessage="1" errorTitle="Ошибка" error="Допускается ввод не более 900 символов!" sqref="V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O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Для выбора выполните двойной щелчок левой клавиши мыши по соответствующей ячейке." sqref="K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Выберите виды деятельности, выполнив двойной щелчок левой кнопки мыши по ячейке." sqref="G70"/>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Для выбора выполните двойной щелчок левой клавиши мыши по соответствующей ячейке." sqref="S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Выберите виды деятельности, выполнив двойной щелчок левой кнопки мыши по ячейке." sqref="G62"/>
    <dataValidation allowBlank="1" showInputMessage="1" showErrorMessage="1" prompt="Для выбора выполните двойной щелчок левой клавиши мыши по соответствующей ячейке." sqref="F62"/>
    <dataValidation type="textLength" operator="lessThanOrEqual" allowBlank="1" showInputMessage="1" showErrorMessage="1" errorTitle="Ошибка" error="Допускается ввод не более 900 символов!" sqref="W61">
      <formula1>900</formula1>
    </dataValidation>
    <dataValidation type="textLength" operator="lessThanOrEqual" allowBlank="1" showInputMessage="1" showErrorMessage="1" errorTitle="Ошибка" error="Допускается ввод не более 900 символов!" sqref="V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O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K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type="textLength" operator="lessThanOrEqual" allowBlank="1" showInputMessage="1" showErrorMessage="1" errorTitle="Ошибка" error="Допускается ввод не более 900 символов!" sqref="W110">
      <formula1>900</formula1>
    </dataValidation>
    <dataValidation type="textLength" operator="lessThanOrEqual" allowBlank="1" showInputMessage="1" showErrorMessage="1" errorTitle="Ошибка" error="Допускается ввод не более 900 символов!" sqref="V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O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Для выбора выполните двойной щелчок левой клавиши мыши по соответствующей ячейке." sqref="K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Выберите виды деятельности, выполнив двойной щелчок левой кнопки мыши по ячейке." sqref="G66"/>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Для выбора выполните двойной щелчок левой клавиши мыши по соответствующей ячейке." sqref="S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Для выбора выполните двойной щелчок левой клавиши мыши по соответствующей ячейке." sqref="F65"/>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V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O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K64"/>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type="textLength" operator="lessThanOrEqual" allowBlank="1" showInputMessage="1" showErrorMessage="1" errorTitle="Ошибка" error="Допускается ввод не более 900 символов!" sqref="W107">
      <formula1>900</formula1>
    </dataValidation>
    <dataValidation type="textLength" operator="lessThanOrEqual" allowBlank="1" showInputMessage="1" showErrorMessage="1" errorTitle="Ошибка" error="Допускается ввод не более 900 символов!" sqref="V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O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K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Выберите виды деятельности, выполнив двойной щелчок левой кнопки мыши по ячейке." sqref="G107"/>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Для выбора выполните двойной щелчок левой клавиши мыши по соответствующей ячейке." sqref="S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type="textLength" operator="lessThanOrEqual" allowBlank="1" showInputMessage="1" showErrorMessage="1" errorTitle="Ошибка" error="Допускается ввод не более 900 символов!" sqref="W59">
      <formula1>900</formula1>
    </dataValidation>
    <dataValidation type="textLength" operator="lessThanOrEqual" allowBlank="1" showInputMessage="1" showErrorMessage="1" errorTitle="Ошибка" error="Допускается ввод не более 900 символов!" sqref="V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O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Для выбора выполните двойной щелчок левой клавиши мыши по соответствующей ячейке." sqref="K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148:K149 O148:O149 S148:S149 K153:K154 O153:O154 S153:S154 K163:K164 O163:O164 S163:S164 K158:K159 O158:O159 S158:S159 O200:O201 O174:O175 S174:S175 O179:O180 S179:S180 K174:K175 K179:K180 S168:S169 K195:K196 O195:O196 K190:K191 O190:O191 S195:S196 O184:O185 S190:S191 O127:O128 S127:S128 K127:K128 K132:K133 O132:O133 S132:S133 F148:F172 K168:K169 O168:O169 F174:F188 S184:S185 K184:K185 F190:F204 S200:S201 K200:K201 F13:F55 F103 F126:F136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148:J149 R148:R149 V148:W148 J153:J154 R153:R154 V153:W153 J163:J164 R163:R164 V163:W163 J158:J159 R158:R159 V158:W158 J174:J175 R174:R175 V174:W174 J179:J180 R179:R180 V179:W179 J195:J196 R195:R196 V195:W195 J190:J191 R190:R191 V190:W190 J127:J128 R127:R128 V127:W127 J132:J133 R132:R133 V132:W132 J168:J169 R168:R169 V168:W168 J184:J185 R184:R185 V184:W184 J200:J201 R200:R201 V200:W200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148:N150 N163:N165 N153:N155 N158:N160 N174:N176 N179:N181 N195:N197 N190:N192 N127:N129 N132:N134 N168:N170 N184:N186 N200:N202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74:G188 G190:G204 G148:G172 G13:G55 G103 G126:G136"/>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Для выбора выполните двойной щелчок левой клавиши мыши по соответствующей ячейке." sqref="K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O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V56">
      <formula1>900</formula1>
    </dataValidation>
    <dataValidation type="textLength" operator="lessThanOrEqual" allowBlank="1" showInputMessage="1" showErrorMessage="1" errorTitle="Ошибка" error="Допускается ввод не более 900 символов!" sqref="W56">
      <formula1>900</formula1>
    </dataValidation>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Для выбора выполните двойной щелчок левой клавиши мыши по соответствующей ячейке." sqref="K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allowBlank="1" showInputMessage="1" showErrorMessage="1" prompt="Для выбора выполните двойной щелчок левой клавиши мыши по соответствующей ячейке." sqref="O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V104">
      <formula1>900</formula1>
    </dataValidation>
    <dataValidation type="textLength" operator="lessThanOrEqual" allowBlank="1" showInputMessage="1" showErrorMessage="1" errorTitle="Ошибка" error="Допускается ввод не более 900 символов!" sqref="W104">
      <formula1>900</formula1>
    </dataValidation>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Выберите виды деятельности, выполнив двойной щелчок левой кнопки мыши по ячейке." sqref="G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Для выбора выполните двойной щелчок левой клавиши мыши по соответствующей ячейке." sqref="K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O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V67">
      <formula1>900</formula1>
    </dataValidation>
    <dataValidation type="textLength" operator="lessThanOrEqual" allowBlank="1" showInputMessage="1" showErrorMessage="1" errorTitle="Ошибка" error="Допускается ввод не более 900 символов!" sqref="W67">
      <formula1>900</formula1>
    </dataValidation>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Выберите виды деятельности, выполнив двойной щелчок левой кнопки мыши по ячейке." sqref="G73"/>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Для выбора выполните двойной щелчок левой клавиши мыши по соответствующей ячейке." sqref="K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allowBlank="1" showInputMessage="1" showErrorMessage="1" prompt="Для выбора выполните двойной щелчок левой клавиши мыши по соответствующей ячейке." sqref="O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type="textLength" operator="lessThanOrEqual" allowBlank="1" showInputMessage="1" showErrorMessage="1" errorTitle="Ошибка" error="Допускается ввод не более 900 символов!" sqref="V73">
      <formula1>900</formula1>
    </dataValidation>
    <dataValidation type="textLength" operator="lessThanOrEqual" allowBlank="1" showInputMessage="1" showErrorMessage="1" errorTitle="Ошибка" error="Допускается ввод не более 900 символов!" sqref="W73">
      <formula1>900</formula1>
    </dataValidation>
    <dataValidation allowBlank="1" showInputMessage="1" showErrorMessage="1" prompt="Для выбора выполните двойной щелчок левой клавиши мыши по соответствующей ячейке." sqref="F74"/>
    <dataValidation allowBlank="1" showInputMessage="1" showErrorMessage="1" prompt="Выберите виды деятельности, выполнив двойной щелчок левой кнопки мыши по ячейке." sqref="G74"/>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Для выбора выполните двойной щелчок левой клавиши мыши по соответствующей ячейке." sqref="S74"/>
    <dataValidation allowBlank="1" showInputMessage="1" showErrorMessage="1" prompt="Для выбора выполните двойной щелчок левой клавиши мыши по соответствующей ячейке." sqref="F75"/>
    <dataValidation allowBlank="1" showInputMessage="1" showErrorMessage="1" prompt="Выберите виды деятельности, выполнив двойной щелчок левой кнопки мыши по ячейке." sqref="G7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5"/>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Для выбора выполните двойной щелчок левой клавиши мыши по соответствующей ячейке." sqref="K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O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V113">
      <formula1>900</formula1>
    </dataValidation>
    <dataValidation type="textLength" operator="lessThanOrEqual" allowBlank="1" showInputMessage="1" showErrorMessage="1" errorTitle="Ошибка" error="Допускается ввод не более 900 символов!" sqref="W113">
      <formula1>900</formula1>
    </dataValidation>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Для выбора выполните двойной щелчок левой клавиши мыши по соответствующей ячейке." sqref="S114"/>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F76"/>
    <dataValidation allowBlank="1" showInputMessage="1" showErrorMessage="1" prompt="Выберите виды деятельности, выполнив двойной щелчок левой кнопки мыши по ячейке." sqref="G76"/>
    <dataValidation type="textLength" operator="lessThanOrEqual" allowBlank="1" showInputMessage="1" showErrorMessage="1" errorTitle="Ошибка" error="Допускается ввод не более 900 символов!" sqref="J76">
      <formula1>900</formula1>
    </dataValidation>
    <dataValidation allowBlank="1" showInputMessage="1" showErrorMessage="1" prompt="Для выбора выполните двойной щелчок левой клавиши мыши по соответствующей ячейке." sqref="K7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allowBlank="1" showInputMessage="1" showErrorMessage="1" prompt="Для выбора выполните двойной щелчок левой клавиши мыши по соответствующей ячейке." sqref="O76"/>
    <dataValidation type="textLength" operator="lessThanOrEqual" allowBlank="1" showInputMessage="1" showErrorMessage="1" errorTitle="Ошибка" error="Допускается ввод не более 900 символов!" sqref="R76">
      <formula1>900</formula1>
    </dataValidation>
    <dataValidation allowBlank="1" showInputMessage="1" showErrorMessage="1" prompt="Для выбора выполните двойной щелчок левой клавиши мыши по соответствующей ячейке." sqref="S76"/>
    <dataValidation type="textLength" operator="lessThanOrEqual" allowBlank="1" showInputMessage="1" showErrorMessage="1" errorTitle="Ошибка" error="Допускается ввод не более 900 символов!" sqref="V76">
      <formula1>900</formula1>
    </dataValidation>
    <dataValidation type="textLength" operator="lessThanOrEqual" allowBlank="1" showInputMessage="1" showErrorMessage="1" errorTitle="Ошибка" error="Допускается ввод не более 900 символов!" sqref="W76">
      <formula1>900</formula1>
    </dataValidation>
    <dataValidation allowBlank="1" showInputMessage="1" showErrorMessage="1" prompt="Для выбора выполните двойной щелчок левой клавиши мыши по соответствующей ячейке." sqref="F77"/>
    <dataValidation allowBlank="1" showInputMessage="1" showErrorMessage="1" prompt="Выберите виды деятельности, выполнив двойной щелчок левой кнопки мыши по ячейке." sqref="G77"/>
    <dataValidation type="textLength" operator="lessThanOrEqual" allowBlank="1" showInputMessage="1" showErrorMessage="1" errorTitle="Ошибка" error="Допускается ввод не более 900 символов!" sqref="J7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type="textLength" operator="lessThanOrEqual" allowBlank="1" showInputMessage="1" showErrorMessage="1" errorTitle="Ошибка" error="Допускается ввод не более 900 символов!" sqref="R77">
      <formula1>900</formula1>
    </dataValidation>
    <dataValidation allowBlank="1" showInputMessage="1" showErrorMessage="1" prompt="Для выбора выполните двойной щелчок левой клавиши мыши по соответствующей ячейке." sqref="S77"/>
    <dataValidation allowBlank="1" showInputMessage="1" showErrorMessage="1" prompt="Для выбора выполните двойной щелчок левой клавиши мыши по соответствующей ячейке." sqref="F78"/>
    <dataValidation allowBlank="1" showInputMessage="1" showErrorMessage="1" prompt="Выберите виды деятельности, выполнив двойной щелчок левой кнопки мыши по ячейке." sqref="G7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Выберите виды деятельности, выполнив двойной щелчок левой кнопки мыши по ячейке." sqref="G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Выберите виды деятельности, выполнив двойной щелчок левой кнопки мыши по ячейке." sqref="G80"/>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Выберите виды деятельности, выполнив двойной щелчок левой кнопки мыши по ячейке." sqref="G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Для выбора выполните двойной щелчок левой клавиши мыши по соответствующей ячейке." sqref="K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allowBlank="1" showInputMessage="1" showErrorMessage="1" prompt="Для выбора выполните двойной щелчок левой клавиши мыши по соответствующей ячейке." sqref="O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V88">
      <formula1>900</formula1>
    </dataValidation>
    <dataValidation type="textLength" operator="lessThanOrEqual" allowBlank="1" showInputMessage="1" showErrorMessage="1" errorTitle="Ошибка" error="Допускается ввод не более 900 символов!" sqref="W88">
      <formula1>900</formula1>
    </dataValidation>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Выберите виды деятельности, выполнив двойной щелчок левой кнопки мыши по ячейке." sqref="G89"/>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allowBlank="1" showInputMessage="1" showErrorMessage="1" prompt="Для выбора выполните двойной щелчок левой клавиши мыши по соответствующей ячейке." sqref="F122"/>
    <dataValidation allowBlank="1" showInputMessage="1" showErrorMessage="1" prompt="Выберите виды деятельности, выполнив двойной щелчок левой кнопки мыши по ячейке." sqref="G122"/>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Для выбора выполните двойной щелчок левой клавиши мыши по соответствующей ячейке." sqref="K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allowBlank="1" showInputMessage="1" showErrorMessage="1" prompt="Для выбора выполните двойной щелчок левой клавиши мыши по соответствующей ячейке." sqref="O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V122">
      <formula1>900</formula1>
    </dataValidation>
    <dataValidation type="textLength" operator="lessThanOrEqual" allowBlank="1" showInputMessage="1" showErrorMessage="1" errorTitle="Ошибка" error="Допускается ввод не более 900 символов!" sqref="W122">
      <formula1>900</formula1>
    </dataValidation>
    <dataValidation allowBlank="1" showInputMessage="1" showErrorMessage="1" prompt="Для выбора выполните двойной щелчок левой клавиши мыши по соответствующей ячейке." sqref="F123"/>
    <dataValidation allowBlank="1" showInputMessage="1" showErrorMessage="1" prompt="Выберите виды деятельности, выполнив двойной щелчок левой кнопки мыши по ячейке." sqref="G123"/>
    <dataValidation type="textLength" operator="lessThanOrEqual" allowBlank="1" showInputMessage="1" showErrorMessage="1" errorTitle="Ошибка" error="Допускается ввод не более 900 символов!" sqref="J1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type="textLength" operator="lessThanOrEqual" allowBlank="1" showInputMessage="1" showErrorMessage="1" errorTitle="Ошибка" error="Допускается ввод не более 900 символов!" sqref="R123">
      <formula1>900</formula1>
    </dataValidation>
    <dataValidation allowBlank="1" showInputMessage="1" showErrorMessage="1" prompt="Для выбора выполните двойной щелчок левой клавиши мыши по соответствующей ячейке." sqref="S123"/>
    <dataValidation allowBlank="1" showInputMessage="1" showErrorMessage="1" prompt="Для выбора выполните двойной щелчок левой клавиши мыши по соответствующей ячейке." sqref="F124"/>
    <dataValidation allowBlank="1" showInputMessage="1" showErrorMessage="1" prompt="Выберите виды деятельности, выполнив двойной щелчок левой кнопки мыши по ячейке." sqref="G1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A5477-35B2-850C-EABF-EA839B53C88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8" width="9.140625" hidden="1" customWidth="1"/>
    <col min="2" max="2" style="1651" width="9.140625" hidden="1" customWidth="1"/>
    <col min="3" max="3" style="699" width="4.00390625" customWidth="1"/>
    <col min="4" max="4" style="1651" width="6.00390625" customWidth="1"/>
    <col min="5" max="5" style="1651" width="47.00390625" customWidth="1"/>
    <col min="6" max="6" style="1651" width="9.00390625" customWidth="1"/>
    <col min="7" max="7" style="1651" width="25.7109375" hidden="1" customWidth="1"/>
    <col min="8" max="8" style="1651" width="34.00390625" hidden="1" customWidth="1"/>
    <col min="9" max="9" style="1651" width="25.7109375" customWidth="1"/>
    <col min="10" max="10" style="1651" width="33.00390625" customWidth="1"/>
    <col min="11" max="11" style="1382" width="50.00390625" customWidth="1"/>
    <col min="12" max="20" style="1651" width="10.00390625" customWidth="1"/>
    <col min="21" max="21" style="691" width="10.00390625" customWidth="1"/>
    <col min="22" max="22" style="1651" width="10.57421875" hidden="1"/>
  </cols>
  <sheetData>
    <row s="1382" customFormat="1" customHeight="1" ht="22.5" hidden="1">
      <c r="C1" s="688"/>
      <c r="G1" s="433">
        <v>4</v>
      </c>
      <c r="I1" s="433">
        <v>4</v>
      </c>
      <c r="U1" s="436"/>
      <c r="V1" s="433" t="s">
        <v>14</v>
      </c>
    </row>
    <row s="1651" customFormat="1" customHeight="1" ht="15" hidden="1">
      <c r="A2" s="378"/>
      <c r="C2" s="192"/>
      <c r="D2" s="362"/>
      <c r="E2" s="689"/>
      <c r="F2" s="538"/>
      <c r="G2" s="632"/>
      <c r="H2" s="632"/>
      <c r="I2" s="632"/>
      <c r="J2" s="632"/>
      <c r="U2" s="690"/>
      <c r="V2" s="525">
        <v>0</v>
      </c>
    </row>
    <row s="1382" customFormat="1" customHeight="1" ht="15" hidden="1">
      <c r="C3" s="688"/>
      <c r="U3" s="436"/>
      <c r="V3" s="433">
        <v>0</v>
      </c>
    </row>
    <row customHeight="1" ht="15.75">
      <c r="C4" s="192"/>
      <c r="D4" s="525"/>
      <c r="E4" s="525"/>
      <c r="F4" s="525"/>
      <c r="G4" s="525"/>
      <c r="H4" s="525"/>
      <c r="I4" s="525"/>
      <c r="J4" s="525"/>
      <c r="V4" s="521">
        <v>15</v>
      </c>
    </row>
    <row customHeight="1" ht="66">
      <c r="C5" s="192"/>
      <c r="D5" s="2253" t="s">
        <v>1314</v>
      </c>
      <c r="E5" s="2253"/>
      <c r="F5" s="2253"/>
      <c r="G5" s="2253"/>
      <c r="H5" s="2253"/>
      <c r="I5" s="2253"/>
      <c r="J5" s="2253"/>
      <c r="V5" s="521">
        <v>63</v>
      </c>
    </row>
    <row customHeight="1" ht="15.75">
      <c r="C6" s="192"/>
      <c r="D6" s="2192" t="str">
        <f>IF(org=0,"Не определено",org)</f>
        <v>КГУП "Примтеплоэнерго"</v>
      </c>
      <c r="E6" s="2192"/>
      <c r="F6" s="2192"/>
      <c r="G6" s="2192"/>
      <c r="H6" s="2192"/>
      <c r="I6" s="2192"/>
      <c r="J6" s="2192"/>
      <c r="K6" s="553"/>
      <c r="V6" s="521">
        <v>15</v>
      </c>
    </row>
    <row customHeight="1" ht="15.75">
      <c r="C7" s="192"/>
      <c r="D7" s="768"/>
      <c r="E7" s="525"/>
      <c r="F7" s="525"/>
      <c r="G7" s="553">
        <v>22</v>
      </c>
      <c r="I7" s="553">
        <v>1</v>
      </c>
      <c r="J7" s="768"/>
      <c r="V7" s="521">
        <v>15</v>
      </c>
    </row>
    <row s="1651" customFormat="1" customHeight="1" ht="1.05">
      <c r="A8" s="775"/>
      <c r="C8" s="192"/>
      <c r="D8" s="525"/>
      <c r="E8" s="525"/>
      <c r="F8" s="525"/>
      <c r="G8" s="553"/>
      <c r="H8" s="768"/>
      <c r="I8" s="553" t="s">
        <v>186</v>
      </c>
      <c r="J8" s="768"/>
      <c r="K8" s="433"/>
      <c r="U8" s="691"/>
      <c r="V8" s="774">
        <v>1</v>
      </c>
    </row>
    <row customHeight="1" ht="15.75">
      <c r="C9" s="192"/>
      <c r="D9" s="727"/>
      <c r="E9" s="2383" t="s">
        <v>178</v>
      </c>
      <c r="F9" s="2384"/>
      <c r="G9" s="2411" t="str">
        <f>IF(G8="","",INDEX(DIFFERENTIATION_UNMERGE_VD,MATCH(G8,DIFFERENTIATION_ID_DIFF,0)))</f>
        <v/>
      </c>
      <c r="H9" s="2412"/>
      <c r="I9" s="2411">
        <f>IF(I8="","",INDEX(DIFFERENTIATION_UNMERGE_VD,MATCH(I8,DIFFERENTIATION_ID_DIFF,0)))</f>
        <v>0</v>
      </c>
      <c r="J9" s="2412"/>
      <c r="K9" s="2191" t="s">
        <v>454</v>
      </c>
      <c r="V9" s="521">
        <v>15</v>
      </c>
    </row>
    <row s="1651" customFormat="1" customHeight="1" ht="15.75">
      <c r="A10" s="775"/>
      <c r="C10" s="192"/>
      <c r="D10" s="727"/>
      <c r="E10" s="2383" t="s">
        <v>717</v>
      </c>
      <c r="F10" s="2384"/>
      <c r="G10" s="2411" t="str">
        <f>IF(G8="","",INDEX(DIFFERENTIATION_UNMERGE_AREA,MATCH(G8,DIFFERENTIATION_ID_DIFF,0)))</f>
        <v/>
      </c>
      <c r="H10" s="2412"/>
      <c r="I10" s="2411" t="str">
        <f>IF(I8="","",INDEX(DIFFERENTIATION_UNMERGE_AREA,MATCH(I8,DIFFERENTIATION_ID_DIFF,0)))</f>
        <v/>
      </c>
      <c r="J10" s="2412"/>
      <c r="K10" s="2215"/>
      <c r="U10" s="691"/>
      <c r="V10" s="774">
        <v>15</v>
      </c>
    </row>
    <row s="1651" customFormat="1" customHeight="1" ht="15.75">
      <c r="A11" s="775"/>
      <c r="C11" s="192"/>
      <c r="D11" s="727"/>
      <c r="E11" s="2383" t="s">
        <v>718</v>
      </c>
      <c r="F11" s="2384"/>
      <c r="G11" s="2411" t="str">
        <f>IF(G8="","",INDEX(DIFFERENTIATION_UNMERGE_SYSTEM,MATCH(G8,DIFFERENTIATION_ID_DIFF,0)))</f>
        <v/>
      </c>
      <c r="H11" s="2412"/>
      <c r="I11" s="2411" t="str">
        <f>IF(I8="","",INDEX(DIFFERENTIATION_UNMERGE_SYSTEM,MATCH(I8,DIFFERENTIATION_ID_DIFF,0)))</f>
        <v>без дифференциации</v>
      </c>
      <c r="J11" s="2412"/>
      <c r="K11" s="2215"/>
      <c r="U11" s="691"/>
      <c r="V11" s="774">
        <v>15</v>
      </c>
    </row>
    <row s="1651" customFormat="1" customHeight="1" ht="15.75">
      <c r="A12" s="775"/>
      <c r="C12" s="192"/>
      <c r="D12" s="2385" t="s">
        <v>453</v>
      </c>
      <c r="E12" s="2386"/>
      <c r="F12" s="2386"/>
      <c r="G12" s="903"/>
      <c r="H12" s="903"/>
      <c r="I12" s="903"/>
      <c r="J12" s="903"/>
      <c r="K12" s="2215"/>
      <c r="U12" s="691"/>
      <c r="V12" s="774">
        <v>15</v>
      </c>
    </row>
    <row customHeight="1" ht="35.699999999999996">
      <c r="C13" s="192"/>
      <c r="D13" s="821" t="s">
        <v>91</v>
      </c>
      <c r="E13" s="823" t="s">
        <v>455</v>
      </c>
      <c r="F13" s="823" t="s">
        <v>719</v>
      </c>
      <c r="G13" s="824" t="s">
        <v>456</v>
      </c>
      <c r="H13" s="823" t="s">
        <v>543</v>
      </c>
      <c r="I13" s="824" t="s">
        <v>456</v>
      </c>
      <c r="J13" s="823" t="s">
        <v>543</v>
      </c>
      <c r="K13" s="2248"/>
      <c r="V13" s="521">
        <v>34</v>
      </c>
    </row>
    <row customHeight="1" ht="15" hidden="1">
      <c r="C14" s="192"/>
      <c r="D14" s="609" t="s">
        <v>141</v>
      </c>
      <c r="E14" s="609" t="s">
        <v>107</v>
      </c>
      <c r="F14" s="609" t="s">
        <v>93</v>
      </c>
      <c r="G14" s="675" t="str">
        <f>G1&amp;".1"</f>
        <v>4.1</v>
      </c>
      <c r="H14" s="675"/>
      <c r="I14" s="675" t="str">
        <f>I1&amp;".1"</f>
        <v>4.1</v>
      </c>
      <c r="J14" s="675"/>
      <c r="K14" s="305"/>
      <c r="V14" s="521">
        <v>0</v>
      </c>
    </row>
    <row customHeight="1" ht="22.5" hidden="1">
      <c r="A15" s="521"/>
      <c r="C15" s="542"/>
      <c r="D15" s="537">
        <v>1</v>
      </c>
      <c r="E15" s="693" t="s">
        <v>961</v>
      </c>
      <c r="F15" s="537" t="s">
        <v>962</v>
      </c>
      <c r="G15" s="694"/>
      <c r="H15" s="694"/>
      <c r="I15" s="694"/>
      <c r="J15" s="694"/>
      <c r="K15" s="305" t="s">
        <v>963</v>
      </c>
      <c r="V15" s="521">
        <v>0</v>
      </c>
    </row>
    <row customHeight="1" ht="22.5" hidden="1">
      <c r="A16" s="521"/>
      <c r="C16" s="542"/>
      <c r="D16" s="537">
        <v>2</v>
      </c>
      <c r="E16" s="295" t="s">
        <v>964</v>
      </c>
      <c r="F16" s="537" t="s">
        <v>965</v>
      </c>
      <c r="G16" s="694"/>
      <c r="H16" s="694"/>
      <c r="I16" s="694"/>
      <c r="J16" s="694"/>
      <c r="K16" s="305" t="s">
        <v>966</v>
      </c>
      <c r="V16" s="521">
        <v>0</v>
      </c>
    </row>
    <row customHeight="1" ht="123.75" hidden="1">
      <c r="A17" s="521"/>
      <c r="C17" s="542"/>
      <c r="D17" s="537">
        <v>3</v>
      </c>
      <c r="E17" s="295" t="s">
        <v>1315</v>
      </c>
      <c r="F17" s="537" t="s">
        <v>459</v>
      </c>
      <c r="G17" s="694"/>
      <c r="H17" s="694"/>
      <c r="I17" s="694"/>
      <c r="J17" s="694"/>
      <c r="K17" s="305" t="s">
        <v>1316</v>
      </c>
      <c r="V17" s="521">
        <v>0</v>
      </c>
    </row>
    <row customHeight="1" ht="48.29999999999999">
      <c r="A18" s="521"/>
      <c r="C18" s="542"/>
      <c r="D18" s="537">
        <v>3</v>
      </c>
      <c r="E18" s="295" t="s">
        <v>967</v>
      </c>
      <c r="F18" s="537" t="s">
        <v>459</v>
      </c>
      <c r="G18" s="825" t="s">
        <v>459</v>
      </c>
      <c r="H18" s="826" t="s">
        <v>459</v>
      </c>
      <c r="I18" s="537" t="s">
        <v>459</v>
      </c>
      <c r="J18" s="594" t="s">
        <v>459</v>
      </c>
      <c r="K18" s="305" t="s">
        <v>1317</v>
      </c>
      <c r="V18" s="521">
        <v>46</v>
      </c>
    </row>
    <row customHeight="1" ht="35.699999999999996">
      <c r="A19" s="521"/>
      <c r="C19" s="542"/>
      <c r="D19" s="555" t="s">
        <v>477</v>
      </c>
      <c r="E19" s="575" t="s">
        <v>969</v>
      </c>
      <c r="F19" s="537" t="s">
        <v>970</v>
      </c>
      <c r="G19" s="833"/>
      <c r="H19" s="122"/>
      <c r="I19" s="833"/>
      <c r="J19" s="834"/>
      <c r="K19" s="695"/>
      <c r="V19" s="521">
        <v>34</v>
      </c>
    </row>
    <row customHeight="1" ht="35.699999999999996">
      <c r="A20" s="521"/>
      <c r="C20" s="542"/>
      <c r="D20" s="1906" t="s">
        <v>485</v>
      </c>
      <c r="E20" s="575" t="s">
        <v>971</v>
      </c>
      <c r="F20" s="537" t="s">
        <v>972</v>
      </c>
      <c r="G20" s="833"/>
      <c r="H20" s="122"/>
      <c r="I20" s="833"/>
      <c r="J20" s="122"/>
      <c r="K20" s="695"/>
      <c r="V20" s="521">
        <v>34</v>
      </c>
    </row>
    <row customHeight="1" ht="48.29999999999999">
      <c r="A21" s="521"/>
      <c r="C21" s="542"/>
      <c r="D21" s="1906" t="s">
        <v>487</v>
      </c>
      <c r="E21" s="575" t="s">
        <v>973</v>
      </c>
      <c r="F21" s="537" t="s">
        <v>724</v>
      </c>
      <c r="G21" s="696"/>
      <c r="H21" s="122"/>
      <c r="I21" s="696"/>
      <c r="J21" s="122"/>
      <c r="K21" s="695"/>
      <c r="V21" s="521">
        <v>46</v>
      </c>
    </row>
    <row customHeight="1" ht="67.5" hidden="1">
      <c r="A22" s="521"/>
      <c r="C22" s="542"/>
      <c r="D22" s="537">
        <v>5</v>
      </c>
      <c r="E22" s="295" t="s">
        <v>1318</v>
      </c>
      <c r="F22" s="537" t="s">
        <v>711</v>
      </c>
      <c r="G22" s="697"/>
      <c r="H22" s="698"/>
      <c r="I22" s="697"/>
      <c r="J22" s="698"/>
      <c r="K22" s="305" t="s">
        <v>1319</v>
      </c>
      <c r="V22" s="521">
        <v>0</v>
      </c>
    </row>
    <row customHeight="1" ht="33.75" hidden="1">
      <c r="C23" s="467"/>
      <c r="D23" s="537">
        <v>6</v>
      </c>
      <c r="E23" s="295" t="s">
        <v>1320</v>
      </c>
      <c r="F23" s="537" t="s">
        <v>1321</v>
      </c>
      <c r="G23" s="697"/>
      <c r="H23" s="697"/>
      <c r="I23" s="697"/>
      <c r="J23" s="697"/>
      <c r="K23" s="305" t="s">
        <v>1322</v>
      </c>
      <c r="V23" s="521">
        <v>0</v>
      </c>
    </row>
    <row customHeight="1" ht="15.75">
      <c r="V24" s="521">
        <v>15</v>
      </c>
    </row>
    <row customHeight="1" ht="15.75">
      <c r="V25" s="521">
        <v>15</v>
      </c>
    </row>
    <row customHeight="1" ht="15.75">
      <c r="V26" s="521">
        <v>15</v>
      </c>
    </row>
    <row customHeight="1" ht="15.75">
      <c r="V27" s="521">
        <v>15</v>
      </c>
    </row>
    <row customHeight="1" ht="15.75">
      <c r="V28" s="521">
        <v>15</v>
      </c>
    </row>
    <row customHeight="1" ht="15.75">
      <c r="J29" s="835"/>
      <c r="V29" s="521">
        <v>15</v>
      </c>
    </row>
    <row customHeight="1" ht="22.5" hidden="1">
      <c r="A30" s="465" t="s">
        <v>85</v>
      </c>
      <c r="B30" s="521">
        <v>0</v>
      </c>
      <c r="C30" s="699">
        <v>4</v>
      </c>
      <c r="D30" s="521">
        <v>6</v>
      </c>
      <c r="E30" s="521">
        <v>47</v>
      </c>
      <c r="F30" s="521">
        <v>9</v>
      </c>
      <c r="G30" s="774">
        <v>0</v>
      </c>
      <c r="H30" s="774">
        <v>0</v>
      </c>
      <c r="I30" s="521">
        <v>25</v>
      </c>
      <c r="J30" s="521">
        <v>33</v>
      </c>
      <c r="K30" s="433">
        <v>50</v>
      </c>
      <c r="L30" s="521">
        <v>10</v>
      </c>
      <c r="M30" s="521">
        <v>10</v>
      </c>
      <c r="N30" s="521">
        <v>10</v>
      </c>
      <c r="O30" s="521">
        <v>10</v>
      </c>
      <c r="P30" s="521">
        <v>10</v>
      </c>
      <c r="Q30" s="521">
        <v>10</v>
      </c>
      <c r="R30" s="521">
        <v>10</v>
      </c>
      <c r="S30" s="521">
        <v>10</v>
      </c>
      <c r="T30" s="521">
        <v>10</v>
      </c>
      <c r="U30" s="691">
        <v>10</v>
      </c>
      <c r="V30" s="52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EEA355-495D-865F-94D8-018513F438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8" width="32.57421875" customWidth="1"/>
    <col min="2" max="2" style="1866" width="11.00390625" customWidth="1"/>
    <col min="3" max="3" style="1866" width="9.140625"/>
    <col min="4" max="4" style="1866" width="26.57421875" customWidth="1"/>
    <col min="5" max="5" style="1839" width="36.8515625" customWidth="1"/>
    <col min="6" max="6" style="1839" width="23.57421875" customWidth="1"/>
    <col min="7" max="7" style="1839" width="31.421875" customWidth="1"/>
    <col min="8" max="8" style="1839" width="40.8515625" customWidth="1"/>
    <col min="9" max="9" style="1839" width="14.57421875" customWidth="1"/>
    <col min="10" max="10" style="1839" width="26.8515625" customWidth="1"/>
    <col min="11" max="11" style="1839" width="50.00390625" customWidth="1"/>
    <col min="12" max="12" style="1839" width="52.421875" customWidth="1"/>
    <col min="13" max="13" style="1839" width="10.7109375" customWidth="1"/>
    <col min="14" max="14" style="1839" width="55.140625" customWidth="1"/>
    <col min="15" max="15" style="1839" width="31.8515625" customWidth="1"/>
    <col min="16" max="16" style="1839" width="23.8515625" customWidth="1"/>
    <col min="17" max="17" style="1839" width="46.57421875" customWidth="1"/>
    <col min="18" max="18" style="1839" width="24.00390625" customWidth="1"/>
    <col min="19" max="19" style="1839" width="20.57421875" customWidth="1"/>
    <col min="20" max="20" style="1839" width="22.00390625" customWidth="1"/>
    <col min="21" max="22" style="1839" width="26.421875" customWidth="1"/>
    <col min="23" max="23" style="1839" width="8.28125" hidden="1" customWidth="1"/>
    <col min="24" max="24" style="1839" width="59.7109375" customWidth="1"/>
    <col min="25" max="25" style="1839" width="49.140625" customWidth="1"/>
    <col min="26" max="26" style="1839" width="11.140625" customWidth="1"/>
    <col min="27" max="30" style="1839" width="29.00390625" customWidth="1"/>
    <col min="31" max="31" style="1839" width="9.140625"/>
    <col min="32" max="32" style="1839" width="34.7109375" customWidth="1"/>
    <col min="33" max="33" style="1839" width="9.140625"/>
    <col min="34" max="35" style="1839" width="34.421875" customWidth="1"/>
    <col min="36" max="36" style="1839" width="9.140625"/>
    <col min="37" max="37" style="1839" width="24.57421875" customWidth="1"/>
    <col min="38" max="38" style="1839" width="9.140625"/>
    <col min="39" max="39" style="1839" width="26.140625" customWidth="1"/>
    <col min="40" max="40" style="1839" width="1.7109375" customWidth="1"/>
    <col min="41" max="41" style="1839" width="9.140625"/>
    <col min="42" max="43" style="1839" width="47.8515625" customWidth="1"/>
    <col min="44" max="44" style="1839" width="1.7109375" customWidth="1"/>
    <col min="45" max="45" style="1839" width="21.421875" customWidth="1"/>
    <col min="46" max="46" style="1839" width="1.7109375" customWidth="1"/>
    <col min="47" max="47" style="1839" width="31.28125" customWidth="1"/>
    <col min="48" max="48" style="1839" width="1.7109375" customWidth="1"/>
    <col min="49" max="50" style="1839" width="9.140625"/>
    <col min="51" max="51" style="1839" width="3.7109375" customWidth="1"/>
    <col min="52" max="52" style="1839" width="60.8515625" customWidth="1"/>
    <col min="53" max="53" style="1839" width="49.28125" customWidth="1"/>
    <col min="54" max="54" style="1839" width="35.140625" customWidth="1"/>
    <col min="55" max="55" style="1839" width="9.140625"/>
    <col min="56" max="56" style="1839" width="1.7109375" customWidth="1"/>
    <col min="57" max="57" style="1082" width="12.57421875" customWidth="1"/>
    <col min="58" max="58" style="1082" width="14.28125" customWidth="1"/>
    <col min="59" max="59" style="1839" width="30.7109375" customWidth="1"/>
    <col min="60" max="60" style="1856" width="40.7109375" customWidth="1"/>
    <col min="61" max="61" style="1856" width="15.00390625" customWidth="1"/>
    <col min="62" max="62" style="1856" width="40.7109375" customWidth="1"/>
    <col min="63" max="63" style="1856" width="2.7109375" customWidth="1"/>
    <col min="64" max="64" style="1856" width="44.7109375" customWidth="1"/>
    <col min="65" max="65" style="1856" width="2.7109375" customWidth="1"/>
    <col min="66" max="66" style="1856" width="40.7109375" customWidth="1"/>
    <col min="67" max="68" style="1839" width="9.140625"/>
    <col min="69" max="69" style="1839" width="18.140625" customWidth="1"/>
    <col min="70" max="70" style="1839" width="57.8515625" customWidth="1"/>
    <col min="71" max="71" style="1839" width="1.7109375" customWidth="1"/>
    <col min="72" max="72" style="1839" width="22.57421875" customWidth="1"/>
    <col min="73" max="73" style="1839" width="57.8515625" customWidth="1"/>
    <col min="74" max="74" style="1839" width="1.7109375" customWidth="1"/>
    <col min="75" max="75" style="1839" width="22.57421875" customWidth="1"/>
    <col min="76" max="76" style="1839" width="57.8515625" customWidth="1"/>
    <col min="77" max="77" style="1839" width="1.7109375" customWidth="1"/>
    <col min="78" max="78" style="1839" width="22.57421875" customWidth="1"/>
    <col min="79" max="79" style="1839" width="57.8515625" customWidth="1"/>
    <col min="80" max="81" style="1839" width="9.140625"/>
    <col min="82" max="82" style="1839" width="49.57421875" customWidth="1"/>
  </cols>
  <sheetData>
    <row s="1443" customFormat="1" customHeight="1" ht="11.25">
      <c r="A1" s="1083" t="s">
        <v>1323</v>
      </c>
      <c r="B1" s="1083" t="s">
        <v>1324</v>
      </c>
      <c r="C1" s="1083" t="s">
        <v>1325</v>
      </c>
      <c r="D1" s="1083" t="s">
        <v>1326</v>
      </c>
      <c r="E1" s="1083" t="s">
        <v>1327</v>
      </c>
      <c r="F1" s="1083" t="s">
        <v>1328</v>
      </c>
      <c r="G1" s="1083" t="s">
        <v>1329</v>
      </c>
      <c r="H1" s="1083" t="s">
        <v>1330</v>
      </c>
      <c r="I1" s="1083" t="s">
        <v>1331</v>
      </c>
      <c r="J1" s="1083" t="s">
        <v>1332</v>
      </c>
      <c r="K1" s="1083" t="s">
        <v>1333</v>
      </c>
      <c r="L1" s="1083" t="s">
        <v>1334</v>
      </c>
      <c r="M1" s="1083"/>
      <c r="N1" s="1083" t="s">
        <v>1335</v>
      </c>
      <c r="O1" s="1083" t="s">
        <v>1336</v>
      </c>
      <c r="P1" s="1083" t="s">
        <v>1337</v>
      </c>
      <c r="Q1" s="1083" t="s">
        <v>1338</v>
      </c>
      <c r="R1" s="1083" t="s">
        <v>1339</v>
      </c>
      <c r="S1" s="1083" t="s">
        <v>1340</v>
      </c>
      <c r="T1" s="1083" t="s">
        <v>1341</v>
      </c>
      <c r="U1" s="1083" t="s">
        <v>1342</v>
      </c>
      <c r="V1" s="1083"/>
      <c r="W1" s="813" t="s">
        <v>1343</v>
      </c>
      <c r="X1" s="1083" t="s">
        <v>1344</v>
      </c>
      <c r="Y1" s="1083" t="s">
        <v>1345</v>
      </c>
      <c r="Z1" s="1083"/>
      <c r="AA1" s="1083" t="s">
        <v>1346</v>
      </c>
      <c r="AB1" s="1083"/>
      <c r="AC1" s="1083" t="s">
        <v>1347</v>
      </c>
      <c r="AD1" s="1083"/>
      <c r="AF1" s="1083" t="s">
        <v>1348</v>
      </c>
      <c r="AH1" s="1083" t="s">
        <v>1349</v>
      </c>
      <c r="AI1" s="1083" t="s">
        <v>1350</v>
      </c>
      <c r="AK1" s="1083" t="s">
        <v>1351</v>
      </c>
      <c r="AM1" s="1083" t="s">
        <v>1352</v>
      </c>
      <c r="AP1" s="1083" t="s">
        <v>1353</v>
      </c>
      <c r="AQ1" s="1083" t="s">
        <v>1354</v>
      </c>
      <c r="AS1" s="1083" t="s">
        <v>1355</v>
      </c>
      <c r="AU1" s="1083" t="s">
        <v>1356</v>
      </c>
      <c r="AW1" s="1083" t="s">
        <v>1357</v>
      </c>
      <c r="AX1" s="1083" t="s">
        <v>1358</v>
      </c>
      <c r="AZ1" s="1168" t="s">
        <v>1359</v>
      </c>
      <c r="BB1" s="1083" t="s">
        <v>1360</v>
      </c>
      <c r="BC1" s="1083"/>
      <c r="BE1" s="1083" t="s">
        <v>1361</v>
      </c>
      <c r="BF1" s="1083" t="s">
        <v>1362</v>
      </c>
      <c r="BH1" s="1085" t="s">
        <v>960</v>
      </c>
      <c r="BI1" s="1086"/>
      <c r="BJ1" s="1087" t="s">
        <v>1363</v>
      </c>
      <c r="BK1" s="1086"/>
      <c r="BL1" s="1088" t="s">
        <v>1059</v>
      </c>
      <c r="BM1" s="1086"/>
      <c r="BN1" s="1089" t="s">
        <v>1364</v>
      </c>
      <c r="BS1" s="1443"/>
    </row>
    <row customHeight="1" ht="11.25">
      <c r="A2" s="1090" t="s">
        <v>1365</v>
      </c>
      <c r="B2" s="1091">
        <v>2000</v>
      </c>
      <c r="C2" s="1091">
        <v>2022</v>
      </c>
      <c r="D2" s="1091" t="s">
        <v>64</v>
      </c>
      <c r="E2" s="1092" t="s">
        <v>1366</v>
      </c>
      <c r="F2" s="1092" t="s">
        <v>1367</v>
      </c>
      <c r="G2" s="1092" t="s">
        <v>1368</v>
      </c>
      <c r="H2" s="1093" t="s">
        <v>58</v>
      </c>
      <c r="I2" s="1092" t="s">
        <v>141</v>
      </c>
      <c r="J2" s="1092" t="s">
        <v>1369</v>
      </c>
      <c r="K2" s="1094" t="s">
        <v>1370</v>
      </c>
      <c r="L2" s="1095"/>
      <c r="M2" s="1094">
        <v>1</v>
      </c>
      <c r="N2" s="1178" t="s">
        <v>1371</v>
      </c>
      <c r="O2" s="1093" t="s">
        <v>1372</v>
      </c>
      <c r="P2" s="1096" t="s">
        <v>1373</v>
      </c>
      <c r="Q2" s="1097" t="s">
        <v>1374</v>
      </c>
      <c r="R2" s="159" t="s">
        <v>1375</v>
      </c>
      <c r="S2" s="159" t="s">
        <v>1376</v>
      </c>
      <c r="T2" s="1098" t="s">
        <v>633</v>
      </c>
      <c r="U2" s="1095" t="s">
        <v>1377</v>
      </c>
      <c r="V2" s="1099">
        <v>1</v>
      </c>
      <c r="W2" s="1100"/>
      <c r="X2" s="1100" t="s">
        <v>1378</v>
      </c>
      <c r="Y2" s="1091" t="s">
        <v>1379</v>
      </c>
      <c r="Z2" s="1101"/>
      <c r="AA2" s="1091" t="s">
        <v>1380</v>
      </c>
      <c r="AB2" s="1102" t="s">
        <v>1380</v>
      </c>
      <c r="AC2" s="1091" t="s">
        <v>1381</v>
      </c>
      <c r="AD2" s="1102" t="s">
        <v>1381</v>
      </c>
      <c r="AF2" s="1093" t="s">
        <v>1377</v>
      </c>
      <c r="AH2" s="1092" t="s">
        <v>1382</v>
      </c>
      <c r="AI2" s="1092" t="s">
        <v>1382</v>
      </c>
      <c r="AK2" s="1092" t="s">
        <v>1383</v>
      </c>
      <c r="AM2" s="1092" t="s">
        <v>1384</v>
      </c>
      <c r="AP2" s="1103" t="s">
        <v>1378</v>
      </c>
      <c r="AQ2" s="1104" t="s">
        <v>1378</v>
      </c>
      <c r="AS2" s="1091" t="s">
        <v>1385</v>
      </c>
      <c r="AU2" s="1136" t="s">
        <v>1386</v>
      </c>
      <c r="AW2" s="1136" t="s">
        <v>1387</v>
      </c>
      <c r="AX2" s="1136" t="s">
        <v>1387</v>
      </c>
      <c r="AZ2" s="1136" t="s">
        <v>56</v>
      </c>
      <c r="BB2" s="1136" t="s">
        <v>1388</v>
      </c>
      <c r="BC2" s="1136" t="s">
        <v>1389</v>
      </c>
      <c r="BE2" s="1136">
        <v>2000</v>
      </c>
      <c r="BF2" s="1136" t="s">
        <v>1390</v>
      </c>
    </row>
    <row customHeight="1" ht="11.25">
      <c r="A3" s="1090" t="s">
        <v>1391</v>
      </c>
      <c r="B3" s="1091">
        <v>2001</v>
      </c>
      <c r="C3" s="1091">
        <v>2023</v>
      </c>
      <c r="D3" s="1091" t="s">
        <v>19</v>
      </c>
      <c r="E3" s="1092" t="s">
        <v>1392</v>
      </c>
      <c r="F3" s="1092" t="s">
        <v>1393</v>
      </c>
      <c r="G3" s="1092" t="s">
        <v>1394</v>
      </c>
      <c r="H3" s="1093" t="s">
        <v>1395</v>
      </c>
      <c r="I3" s="1092" t="s">
        <v>107</v>
      </c>
      <c r="J3" s="1092" t="s">
        <v>709</v>
      </c>
      <c r="K3" s="1094" t="s">
        <v>1396</v>
      </c>
      <c r="L3" s="1095">
        <f>_xlfn.IFERROR(MATCH(K3,OFFER_METHOD,0),0)</f>
        <v>0</v>
      </c>
      <c r="M3" s="1094">
        <v>2</v>
      </c>
      <c r="N3" s="1178" t="s">
        <v>1397</v>
      </c>
      <c r="O3" s="1093" t="s">
        <v>1398</v>
      </c>
      <c r="P3" s="1096" t="s">
        <v>37</v>
      </c>
      <c r="Q3" s="1097" t="s">
        <v>1399</v>
      </c>
      <c r="R3" s="159" t="s">
        <v>1400</v>
      </c>
      <c r="S3" s="159" t="s">
        <v>1401</v>
      </c>
      <c r="T3" s="1098" t="s">
        <v>1402</v>
      </c>
      <c r="U3" s="1095" t="s">
        <v>1403</v>
      </c>
      <c r="V3" s="1099">
        <v>2</v>
      </c>
      <c r="W3" s="1100"/>
      <c r="X3" s="1100" t="s">
        <v>1404</v>
      </c>
      <c r="Y3" s="1091" t="s">
        <v>1379</v>
      </c>
      <c r="Z3" s="1101"/>
      <c r="AA3" s="1091" t="s">
        <v>1405</v>
      </c>
      <c r="AB3" s="1102" t="s">
        <v>1405</v>
      </c>
      <c r="AC3" s="1091" t="s">
        <v>1406</v>
      </c>
      <c r="AD3" s="1102" t="s">
        <v>1406</v>
      </c>
      <c r="AF3" s="1093" t="s">
        <v>1403</v>
      </c>
      <c r="AH3" s="1092" t="s">
        <v>1407</v>
      </c>
      <c r="AI3" s="1092" t="s">
        <v>1408</v>
      </c>
      <c r="AK3" s="1092" t="s">
        <v>1409</v>
      </c>
      <c r="AM3" s="1092" t="s">
        <v>1410</v>
      </c>
      <c r="AP3" s="1103" t="s">
        <v>1411</v>
      </c>
      <c r="AQ3" s="1104" t="s">
        <v>1411</v>
      </c>
      <c r="AS3" s="1091" t="s">
        <v>1412</v>
      </c>
      <c r="AU3" s="1136" t="s">
        <v>1413</v>
      </c>
      <c r="AW3" s="1136" t="s">
        <v>1414</v>
      </c>
      <c r="AX3" s="1136" t="s">
        <v>1414</v>
      </c>
      <c r="AZ3" s="1136" t="s">
        <v>1415</v>
      </c>
      <c r="BB3" s="1136" t="s">
        <v>1416</v>
      </c>
      <c r="BC3" s="1136" t="s">
        <v>1389</v>
      </c>
      <c r="BE3" s="1136">
        <v>2001</v>
      </c>
      <c r="BF3" s="1136" t="s">
        <v>1417</v>
      </c>
      <c r="BH3" s="1083" t="s">
        <v>1418</v>
      </c>
      <c r="BJ3" s="1083" t="s">
        <v>1419</v>
      </c>
      <c r="BL3" s="1083" t="s">
        <v>1420</v>
      </c>
      <c r="BN3" s="1083" t="s">
        <v>1421</v>
      </c>
      <c r="BR3" s="1083" t="s">
        <v>1422</v>
      </c>
      <c r="BS3" s="1444"/>
      <c r="BT3" s="1086"/>
      <c r="BU3" s="1083" t="s">
        <v>1423</v>
      </c>
      <c r="BV3" s="1086"/>
      <c r="BW3" s="1706"/>
      <c r="BX3" s="1708" t="s">
        <v>1424</v>
      </c>
      <c r="CA3" s="1083" t="s">
        <v>1425</v>
      </c>
    </row>
    <row customHeight="1" ht="11.25">
      <c r="A4" s="1090" t="s">
        <v>1426</v>
      </c>
      <c r="B4" s="1091">
        <v>2002</v>
      </c>
      <c r="C4" s="1091">
        <v>2024</v>
      </c>
      <c r="E4" s="1092" t="s">
        <v>1427</v>
      </c>
      <c r="F4" s="1092" t="s">
        <v>1428</v>
      </c>
      <c r="H4" s="1093" t="s">
        <v>1429</v>
      </c>
      <c r="I4" s="1092" t="s">
        <v>93</v>
      </c>
      <c r="J4" s="1092" t="s">
        <v>1430</v>
      </c>
      <c r="K4" s="1094" t="s">
        <v>1431</v>
      </c>
      <c r="L4" s="1095">
        <f>_xlfn.IFERROR(MATCH(K4,OFFER_METHOD,0),0)</f>
        <v>0</v>
      </c>
      <c r="M4" s="1094">
        <v>3</v>
      </c>
      <c r="N4" s="1178" t="s">
        <v>1432</v>
      </c>
      <c r="O4" s="1092" t="s">
        <v>1433</v>
      </c>
      <c r="Q4" s="1097" t="s">
        <v>1434</v>
      </c>
      <c r="R4" s="159" t="s">
        <v>1435</v>
      </c>
      <c r="S4" s="159" t="s">
        <v>632</v>
      </c>
      <c r="T4" s="1098" t="s">
        <v>1436</v>
      </c>
      <c r="U4" s="1095" t="s">
        <v>1437</v>
      </c>
      <c r="V4" s="1099">
        <v>3</v>
      </c>
      <c r="W4" s="1100"/>
      <c r="X4" s="1100" t="s">
        <v>1438</v>
      </c>
      <c r="Y4" s="1091" t="s">
        <v>1379</v>
      </c>
      <c r="Z4" s="1107"/>
      <c r="AC4" s="1091" t="s">
        <v>1439</v>
      </c>
      <c r="AD4" s="1102" t="s">
        <v>1439</v>
      </c>
      <c r="AF4" s="1093" t="s">
        <v>1437</v>
      </c>
      <c r="AH4" s="1093" t="s">
        <v>1440</v>
      </c>
      <c r="AK4" s="1092" t="s">
        <v>1441</v>
      </c>
      <c r="AM4" s="1092" t="s">
        <v>1442</v>
      </c>
      <c r="AP4" s="1103" t="s">
        <v>1404</v>
      </c>
      <c r="AQ4" s="1104" t="s">
        <v>1404</v>
      </c>
      <c r="AS4" s="1091" t="s">
        <v>1443</v>
      </c>
      <c r="AU4" s="1136" t="s">
        <v>1444</v>
      </c>
      <c r="AW4" s="1136" t="s">
        <v>1445</v>
      </c>
      <c r="AX4" s="1136" t="s">
        <v>1445</v>
      </c>
      <c r="AZ4" s="1136" t="s">
        <v>1446</v>
      </c>
      <c r="BB4" s="1136" t="s">
        <v>1447</v>
      </c>
      <c r="BC4" s="1136" t="s">
        <v>1448</v>
      </c>
      <c r="BE4" s="1136">
        <v>2002</v>
      </c>
      <c r="BF4" s="1136" t="s">
        <v>1449</v>
      </c>
      <c r="BH4" s="1084" t="s">
        <v>1450</v>
      </c>
      <c r="BJ4" s="1084" t="s">
        <v>1450</v>
      </c>
      <c r="BL4" s="1084" t="s">
        <v>1450</v>
      </c>
      <c r="BN4" s="1084" t="s">
        <v>1450</v>
      </c>
      <c r="BQ4" s="1448" t="s">
        <v>1451</v>
      </c>
      <c r="BR4" s="1175" t="s">
        <v>1452</v>
      </c>
      <c r="BS4" s="290"/>
      <c r="BT4" s="1448" t="s">
        <v>1453</v>
      </c>
      <c r="BU4" s="1175" t="s">
        <v>1454</v>
      </c>
      <c r="BV4" s="1086"/>
      <c r="BW4" s="1713" t="s">
        <v>1455</v>
      </c>
      <c r="BX4" s="1707" t="s">
        <v>1456</v>
      </c>
      <c r="BZ4" s="1448" t="s">
        <v>1457</v>
      </c>
      <c r="CA4" s="1175" t="s">
        <v>1458</v>
      </c>
    </row>
    <row customHeight="1" ht="11.25">
      <c r="A5" s="1090" t="s">
        <v>1459</v>
      </c>
      <c r="B5" s="1091">
        <v>2003</v>
      </c>
      <c r="C5" s="1091">
        <v>2025</v>
      </c>
      <c r="E5" s="1092" t="s">
        <v>1460</v>
      </c>
      <c r="F5" s="1092" t="s">
        <v>1461</v>
      </c>
      <c r="H5" s="1093" t="s">
        <v>1462</v>
      </c>
      <c r="I5" s="1092" t="s">
        <v>94</v>
      </c>
      <c r="K5" s="1094" t="s">
        <v>1463</v>
      </c>
      <c r="L5" s="1095">
        <f>_xlfn.IFERROR(MATCH(K5,OFFER_METHOD,0),0)</f>
        <v>0</v>
      </c>
      <c r="M5" s="1094">
        <v>4</v>
      </c>
      <c r="N5" s="1108" t="s">
        <v>1464</v>
      </c>
      <c r="O5" s="1092" t="s">
        <v>1465</v>
      </c>
      <c r="Q5" s="1097" t="s">
        <v>1466</v>
      </c>
      <c r="R5" s="159" t="s">
        <v>1467</v>
      </c>
      <c r="T5" s="1093" t="s">
        <v>1468</v>
      </c>
      <c r="U5" s="1095" t="s">
        <v>1469</v>
      </c>
      <c r="V5" s="1099">
        <v>4</v>
      </c>
      <c r="W5" s="1100"/>
      <c r="X5" s="1100" t="s">
        <v>229</v>
      </c>
      <c r="Y5" s="1091" t="s">
        <v>1470</v>
      </c>
      <c r="Z5" s="1107">
        <v>1</v>
      </c>
      <c r="AF5" s="1093" t="s">
        <v>1471</v>
      </c>
      <c r="AH5" s="1092" t="s">
        <v>1472</v>
      </c>
      <c r="AK5" s="1092" t="s">
        <v>1473</v>
      </c>
      <c r="AM5" s="1092" t="s">
        <v>1474</v>
      </c>
      <c r="AP5" s="1103" t="s">
        <v>229</v>
      </c>
      <c r="AQ5" s="1104" t="s">
        <v>229</v>
      </c>
      <c r="AU5" s="1136" t="s">
        <v>1475</v>
      </c>
      <c r="AW5" s="1136" t="s">
        <v>1476</v>
      </c>
      <c r="AX5" s="1136" t="s">
        <v>1476</v>
      </c>
      <c r="AZ5" s="1136" t="s">
        <v>1477</v>
      </c>
      <c r="BB5" s="1136" t="s">
        <v>1478</v>
      </c>
      <c r="BC5" s="1136" t="s">
        <v>1479</v>
      </c>
      <c r="BE5" s="1136">
        <v>2003</v>
      </c>
      <c r="BF5" s="1136" t="s">
        <v>1480</v>
      </c>
      <c r="BH5" s="1084" t="s">
        <v>1481</v>
      </c>
      <c r="BJ5" s="1084" t="s">
        <v>1481</v>
      </c>
      <c r="BL5" s="1084" t="s">
        <v>1481</v>
      </c>
      <c r="BN5" s="1084" t="s">
        <v>1482</v>
      </c>
      <c r="BQ5" s="1297">
        <v>4213775</v>
      </c>
      <c r="BR5" s="1084" t="s">
        <v>1378</v>
      </c>
      <c r="BS5" s="1445"/>
      <c r="BT5" s="1297">
        <v>64236871</v>
      </c>
      <c r="BU5" s="1084" t="s">
        <v>382</v>
      </c>
      <c r="BV5" s="1086"/>
      <c r="BW5" s="1711">
        <v>4213767</v>
      </c>
      <c r="BX5" s="1709" t="s">
        <v>1483</v>
      </c>
      <c r="BZ5" s="1297">
        <v>64237509</v>
      </c>
      <c r="CA5" s="1311" t="s">
        <v>1484</v>
      </c>
    </row>
    <row customHeight="1" ht="11.25">
      <c r="A6" s="1090" t="s">
        <v>1485</v>
      </c>
      <c r="B6" s="1091">
        <v>2004</v>
      </c>
      <c r="C6" s="1091">
        <v>2026</v>
      </c>
      <c r="E6" s="1092" t="s">
        <v>1486</v>
      </c>
      <c r="F6" s="1109"/>
      <c r="H6" s="1093" t="s">
        <v>1487</v>
      </c>
      <c r="I6" s="1092" t="s">
        <v>122</v>
      </c>
      <c r="J6" s="1083" t="s">
        <v>1488</v>
      </c>
      <c r="L6" s="1095">
        <f>SUM(kind_of_control_method_filter)</f>
        <v>0</v>
      </c>
      <c r="N6" s="1108" t="s">
        <v>1489</v>
      </c>
      <c r="O6" s="1092" t="s">
        <v>1490</v>
      </c>
      <c r="R6" s="159" t="s">
        <v>1374</v>
      </c>
      <c r="T6" s="1093" t="s">
        <v>1491</v>
      </c>
      <c r="U6" s="1095" t="s">
        <v>1471</v>
      </c>
      <c r="V6" s="1099">
        <v>5</v>
      </c>
      <c r="W6" s="1100"/>
      <c r="X6" s="1091" t="s">
        <v>235</v>
      </c>
      <c r="Y6" s="1091" t="s">
        <v>1492</v>
      </c>
      <c r="Z6" s="1107"/>
      <c r="AA6" s="1110"/>
      <c r="AH6" s="1092" t="s">
        <v>1493</v>
      </c>
      <c r="AK6" s="1092" t="s">
        <v>1494</v>
      </c>
      <c r="AM6" s="1092" t="s">
        <v>1495</v>
      </c>
      <c r="AP6" s="1103" t="s">
        <v>235</v>
      </c>
      <c r="AQ6" s="1104" t="s">
        <v>235</v>
      </c>
      <c r="AU6" s="1136" t="s">
        <v>1496</v>
      </c>
      <c r="AW6" s="1136" t="s">
        <v>1497</v>
      </c>
      <c r="AX6" s="1136" t="s">
        <v>1497</v>
      </c>
      <c r="BB6" s="1136" t="s">
        <v>1498</v>
      </c>
      <c r="BC6" s="1136" t="s">
        <v>1479</v>
      </c>
      <c r="BE6" s="1136">
        <v>2004</v>
      </c>
      <c r="BF6" s="1136" t="s">
        <v>1499</v>
      </c>
      <c r="BH6" s="1084" t="s">
        <v>1500</v>
      </c>
      <c r="BJ6" s="1084" t="s">
        <v>1501</v>
      </c>
      <c r="BL6" s="1084" t="s">
        <v>1501</v>
      </c>
      <c r="BN6" s="1084" t="s">
        <v>1502</v>
      </c>
      <c r="BQ6" s="1297">
        <v>4213784</v>
      </c>
      <c r="BR6" s="1311" t="s">
        <v>1411</v>
      </c>
      <c r="BS6" s="1446"/>
      <c r="BT6" s="1297">
        <v>64236872</v>
      </c>
      <c r="BU6" s="1084" t="s">
        <v>387</v>
      </c>
      <c r="BV6" s="1086"/>
      <c r="BW6" s="1711">
        <v>4213768</v>
      </c>
      <c r="BX6" s="1709" t="s">
        <v>407</v>
      </c>
      <c r="BZ6" s="1297">
        <v>64237510</v>
      </c>
      <c r="CA6" s="1084" t="s">
        <v>1503</v>
      </c>
    </row>
    <row customHeight="1" ht="11.25">
      <c r="A7" s="1090" t="s">
        <v>1504</v>
      </c>
      <c r="B7" s="1091">
        <v>2005</v>
      </c>
      <c r="E7" s="1092" t="s">
        <v>1505</v>
      </c>
      <c r="F7" s="1109"/>
      <c r="H7" s="1093" t="s">
        <v>1506</v>
      </c>
      <c r="I7" s="1092" t="s">
        <v>95</v>
      </c>
      <c r="J7" s="1092" t="s">
        <v>1507</v>
      </c>
      <c r="N7" s="1112" t="s">
        <v>1508</v>
      </c>
      <c r="O7" s="1092" t="s">
        <v>1509</v>
      </c>
      <c r="U7" s="1095" t="s">
        <v>19</v>
      </c>
      <c r="V7" s="386" t="s">
        <v>95</v>
      </c>
      <c r="W7" s="1100"/>
      <c r="X7" s="1091" t="s">
        <v>241</v>
      </c>
      <c r="Y7" s="1091" t="s">
        <v>1470</v>
      </c>
      <c r="Z7" s="1107"/>
      <c r="AA7" s="1110"/>
      <c r="AH7" s="1092" t="s">
        <v>1510</v>
      </c>
      <c r="AK7" s="1092" t="s">
        <v>1511</v>
      </c>
      <c r="AM7" s="1092" t="s">
        <v>1512</v>
      </c>
      <c r="AP7" s="1103" t="s">
        <v>241</v>
      </c>
      <c r="AQ7" s="1104" t="s">
        <v>241</v>
      </c>
      <c r="AU7" s="1136" t="s">
        <v>1513</v>
      </c>
      <c r="AW7" s="1136" t="s">
        <v>1514</v>
      </c>
      <c r="AX7" s="1136" t="s">
        <v>1514</v>
      </c>
      <c r="AZ7" s="1083" t="s">
        <v>1515</v>
      </c>
      <c r="BB7" s="1136" t="s">
        <v>1516</v>
      </c>
      <c r="BC7" s="1136" t="s">
        <v>1479</v>
      </c>
      <c r="BE7" s="1136">
        <v>2005</v>
      </c>
      <c r="BF7" s="1136" t="s">
        <v>1517</v>
      </c>
      <c r="BH7" s="1084" t="s">
        <v>1518</v>
      </c>
      <c r="BJ7" s="1084" t="s">
        <v>1500</v>
      </c>
      <c r="BL7" s="1084" t="s">
        <v>1500</v>
      </c>
      <c r="BN7" s="1084" t="s">
        <v>1519</v>
      </c>
      <c r="BQ7" s="1297">
        <v>4213781</v>
      </c>
      <c r="BR7" s="1084" t="s">
        <v>1404</v>
      </c>
      <c r="BS7" s="1445"/>
      <c r="BT7" s="1297">
        <v>64236873</v>
      </c>
      <c r="BU7" s="1084" t="s">
        <v>392</v>
      </c>
      <c r="BV7" s="1086"/>
      <c r="BW7" s="1711">
        <v>4213769</v>
      </c>
      <c r="BX7" s="1709" t="s">
        <v>1520</v>
      </c>
      <c r="BZ7" s="1297">
        <v>64237511</v>
      </c>
      <c r="CA7" s="1084" t="s">
        <v>422</v>
      </c>
    </row>
    <row customHeight="1" ht="11.25">
      <c r="A8" s="1090" t="s">
        <v>1521</v>
      </c>
      <c r="B8" s="1091">
        <v>2006</v>
      </c>
      <c r="E8" s="1092" t="s">
        <v>1522</v>
      </c>
      <c r="F8" s="1109"/>
      <c r="H8" s="1093" t="s">
        <v>1523</v>
      </c>
      <c r="I8" s="1092" t="s">
        <v>96</v>
      </c>
      <c r="J8" s="1092" t="s">
        <v>1524</v>
      </c>
      <c r="N8" s="1179" t="s">
        <v>1525</v>
      </c>
      <c r="O8" s="1092" t="s">
        <v>1526</v>
      </c>
      <c r="V8" s="386" t="s">
        <v>96</v>
      </c>
      <c r="W8" s="1100"/>
      <c r="X8" s="1091" t="s">
        <v>247</v>
      </c>
      <c r="Y8" s="1091" t="s">
        <v>1470</v>
      </c>
      <c r="Z8" s="1107"/>
      <c r="AA8" s="1110"/>
      <c r="AK8" s="1092" t="s">
        <v>1527</v>
      </c>
      <c r="AP8" s="1103" t="s">
        <v>247</v>
      </c>
      <c r="AQ8" s="1104" t="s">
        <v>247</v>
      </c>
      <c r="AU8" s="1136" t="s">
        <v>1528</v>
      </c>
      <c r="AW8" s="1136" t="s">
        <v>1529</v>
      </c>
      <c r="AX8" s="1136" t="s">
        <v>1529</v>
      </c>
      <c r="AZ8" s="1136" t="s">
        <v>1530</v>
      </c>
      <c r="BB8" s="1136" t="s">
        <v>1531</v>
      </c>
      <c r="BC8" s="1136" t="s">
        <v>1479</v>
      </c>
      <c r="BE8" s="1136">
        <v>2006</v>
      </c>
      <c r="BF8" s="1136" t="s">
        <v>1532</v>
      </c>
      <c r="BH8" s="1084" t="s">
        <v>1533</v>
      </c>
      <c r="BJ8" s="1084" t="s">
        <v>1534</v>
      </c>
      <c r="BL8" s="1084" t="s">
        <v>1534</v>
      </c>
      <c r="BN8" s="1084" t="s">
        <v>1535</v>
      </c>
      <c r="BQ8" s="1297">
        <v>4213776</v>
      </c>
      <c r="BR8" s="1084" t="s">
        <v>229</v>
      </c>
      <c r="BS8" s="1445"/>
      <c r="BT8" s="1297">
        <v>64236874</v>
      </c>
      <c r="BU8" s="1311" t="s">
        <v>1536</v>
      </c>
      <c r="BV8" s="1086"/>
      <c r="BW8" s="1711">
        <v>4213770</v>
      </c>
      <c r="BX8" s="1712" t="s">
        <v>1537</v>
      </c>
      <c r="BZ8" s="1297">
        <v>64237512</v>
      </c>
      <c r="CA8" s="1084" t="s">
        <v>417</v>
      </c>
    </row>
    <row customHeight="1" ht="11.25">
      <c r="A9" s="1090" t="s">
        <v>1538</v>
      </c>
      <c r="B9" s="1091">
        <v>2007</v>
      </c>
      <c r="E9" s="1092" t="s">
        <v>1539</v>
      </c>
      <c r="F9" s="1109"/>
      <c r="G9" s="1083" t="s">
        <v>1540</v>
      </c>
      <c r="H9" s="1083" t="s">
        <v>1541</v>
      </c>
      <c r="I9" s="1092" t="s">
        <v>134</v>
      </c>
      <c r="O9" s="1092" t="s">
        <v>1542</v>
      </c>
      <c r="V9" s="386" t="s">
        <v>134</v>
      </c>
      <c r="W9" s="1100"/>
      <c r="X9" s="1091" t="s">
        <v>253</v>
      </c>
      <c r="Y9" s="1091" t="s">
        <v>1379</v>
      </c>
      <c r="Z9" s="1107">
        <v>1</v>
      </c>
      <c r="AA9" s="1110"/>
      <c r="AK9" s="1092" t="s">
        <v>1543</v>
      </c>
      <c r="AP9" s="1103" t="s">
        <v>1544</v>
      </c>
      <c r="AQ9" s="1104" t="s">
        <v>1544</v>
      </c>
      <c r="AW9" s="1136" t="s">
        <v>1545</v>
      </c>
      <c r="AX9" s="1136" t="s">
        <v>1545</v>
      </c>
      <c r="AZ9" s="1136" t="s">
        <v>1546</v>
      </c>
      <c r="BB9" s="1136" t="s">
        <v>1547</v>
      </c>
      <c r="BC9" s="1136" t="s">
        <v>1479</v>
      </c>
      <c r="BE9" s="1136">
        <v>2007</v>
      </c>
      <c r="BF9" s="1136" t="s">
        <v>1548</v>
      </c>
      <c r="BH9" s="1084" t="s">
        <v>1549</v>
      </c>
      <c r="BJ9" s="1084" t="s">
        <v>1550</v>
      </c>
      <c r="BL9" s="1084" t="s">
        <v>1550</v>
      </c>
      <c r="BN9" s="1084" t="s">
        <v>1551</v>
      </c>
      <c r="BQ9" s="1297">
        <v>4213777</v>
      </c>
      <c r="BR9" s="1084" t="s">
        <v>235</v>
      </c>
      <c r="BS9" s="1445"/>
      <c r="BT9" s="1297">
        <v>64236875</v>
      </c>
      <c r="BU9" s="1084" t="s">
        <v>397</v>
      </c>
      <c r="BV9" s="1086"/>
      <c r="BW9" s="1706"/>
      <c r="BX9" s="1706"/>
    </row>
    <row customHeight="1" ht="11.25">
      <c r="A10" s="1090" t="s">
        <v>1552</v>
      </c>
      <c r="B10" s="1091">
        <v>2008</v>
      </c>
      <c r="E10" s="1092" t="s">
        <v>1553</v>
      </c>
      <c r="F10" s="1109"/>
      <c r="G10" s="1092" t="s">
        <v>1554</v>
      </c>
      <c r="H10" s="1092" t="s">
        <v>1555</v>
      </c>
      <c r="I10" s="1092" t="s">
        <v>139</v>
      </c>
      <c r="J10" s="1083" t="s">
        <v>1556</v>
      </c>
      <c r="K10" s="1083" t="s">
        <v>1557</v>
      </c>
      <c r="O10" s="1092" t="s">
        <v>1558</v>
      </c>
      <c r="V10" s="387" t="s">
        <v>139</v>
      </c>
      <c r="W10" s="1113"/>
      <c r="X10" s="1113" t="s">
        <v>1559</v>
      </c>
      <c r="Y10" s="1114" t="s">
        <v>1560</v>
      </c>
      <c r="Z10" s="1107"/>
      <c r="AP10" s="1103" t="s">
        <v>1559</v>
      </c>
      <c r="AQ10" s="1104" t="s">
        <v>1559</v>
      </c>
      <c r="AW10" s="1136" t="s">
        <v>1561</v>
      </c>
      <c r="AX10" s="1136" t="s">
        <v>1561</v>
      </c>
      <c r="AZ10" s="1136" t="s">
        <v>1562</v>
      </c>
      <c r="BB10" s="1136" t="s">
        <v>1563</v>
      </c>
      <c r="BC10" s="1136" t="s">
        <v>1479</v>
      </c>
      <c r="BE10" s="1136">
        <v>2008</v>
      </c>
      <c r="BF10" s="1136" t="s">
        <v>1564</v>
      </c>
      <c r="BH10" s="1084" t="s">
        <v>1565</v>
      </c>
      <c r="BJ10" s="1084" t="s">
        <v>1566</v>
      </c>
      <c r="BL10" s="1084" t="s">
        <v>1566</v>
      </c>
      <c r="BN10" s="1084" t="s">
        <v>1567</v>
      </c>
      <c r="BQ10" s="1297">
        <v>4213778</v>
      </c>
      <c r="BR10" s="1084" t="s">
        <v>241</v>
      </c>
      <c r="BS10" s="1445"/>
      <c r="BT10" s="1297">
        <v>64236876</v>
      </c>
      <c r="BU10" s="1084" t="s">
        <v>377</v>
      </c>
      <c r="BV10" s="1086"/>
      <c r="BW10" s="1706"/>
      <c r="BX10" s="1706"/>
    </row>
    <row customHeight="1" ht="11.25">
      <c r="A11" s="1090" t="s">
        <v>1568</v>
      </c>
      <c r="B11" s="1091">
        <v>2009</v>
      </c>
      <c r="E11" s="1092" t="s">
        <v>1569</v>
      </c>
      <c r="F11" s="1109"/>
      <c r="G11" s="1092" t="s">
        <v>1570</v>
      </c>
      <c r="H11" s="1092" t="s">
        <v>1571</v>
      </c>
      <c r="I11" s="1092" t="s">
        <v>144</v>
      </c>
      <c r="J11" s="1093" t="s">
        <v>1572</v>
      </c>
      <c r="K11" s="1115" t="s">
        <v>1573</v>
      </c>
      <c r="O11" s="1093" t="s">
        <v>1574</v>
      </c>
      <c r="V11" s="386" t="s">
        <v>144</v>
      </c>
      <c r="W11" s="291"/>
      <c r="X11" s="1100" t="s">
        <v>1544</v>
      </c>
      <c r="Y11" s="1091" t="s">
        <v>1575</v>
      </c>
      <c r="Z11" s="1107"/>
      <c r="AP11" s="1103" t="s">
        <v>253</v>
      </c>
      <c r="AQ11" s="1105" t="s">
        <v>253</v>
      </c>
      <c r="AW11" s="1136" t="s">
        <v>1576</v>
      </c>
      <c r="AX11" s="1136" t="s">
        <v>1576</v>
      </c>
      <c r="AZ11" s="1136" t="s">
        <v>1577</v>
      </c>
      <c r="BB11" s="1136" t="s">
        <v>1578</v>
      </c>
      <c r="BC11" s="1136" t="s">
        <v>1479</v>
      </c>
      <c r="BE11" s="1136">
        <v>2009</v>
      </c>
      <c r="BF11" s="1136" t="s">
        <v>1579</v>
      </c>
      <c r="BH11" s="1084" t="s">
        <v>1580</v>
      </c>
      <c r="BJ11" s="1084" t="s">
        <v>1549</v>
      </c>
      <c r="BL11" s="1084" t="s">
        <v>1549</v>
      </c>
      <c r="BN11" s="1084" t="s">
        <v>1581</v>
      </c>
      <c r="BQ11" s="1297">
        <v>4213780</v>
      </c>
      <c r="BR11" s="1084" t="s">
        <v>247</v>
      </c>
      <c r="BS11" s="1445"/>
      <c r="BW11" s="1706"/>
      <c r="BX11" s="1706"/>
    </row>
    <row customHeight="1" ht="11.25">
      <c r="A12" s="1090" t="s">
        <v>1582</v>
      </c>
      <c r="B12" s="1091">
        <v>2010</v>
      </c>
      <c r="E12" s="1092" t="s">
        <v>1583</v>
      </c>
      <c r="F12" s="1109"/>
      <c r="G12" s="1092" t="s">
        <v>1571</v>
      </c>
      <c r="I12" s="1092" t="s">
        <v>150</v>
      </c>
      <c r="J12" s="1093" t="s">
        <v>1584</v>
      </c>
      <c r="K12" s="1115" t="s">
        <v>1585</v>
      </c>
      <c r="O12" s="1093" t="s">
        <v>1374</v>
      </c>
      <c r="V12" s="386" t="s">
        <v>150</v>
      </c>
      <c r="W12" s="1105"/>
      <c r="X12" s="1100" t="s">
        <v>1586</v>
      </c>
      <c r="Y12" s="1091" t="s">
        <v>1379</v>
      </c>
      <c r="AP12" s="1103"/>
      <c r="AW12" s="1136" t="s">
        <v>144</v>
      </c>
      <c r="AX12" s="1136" t="s">
        <v>144</v>
      </c>
      <c r="AZ12" s="1136" t="s">
        <v>1587</v>
      </c>
      <c r="BB12" s="1136" t="s">
        <v>1588</v>
      </c>
      <c r="BC12" s="1136" t="s">
        <v>1479</v>
      </c>
      <c r="BE12" s="1136">
        <v>2010</v>
      </c>
      <c r="BF12" s="1136" t="s">
        <v>1589</v>
      </c>
      <c r="BH12" s="1084" t="s">
        <v>1590</v>
      </c>
      <c r="BJ12" s="1084" t="s">
        <v>1591</v>
      </c>
      <c r="BL12" s="1084" t="s">
        <v>1591</v>
      </c>
      <c r="BN12" s="1084" t="s">
        <v>1592</v>
      </c>
      <c r="BQ12" s="1297">
        <v>4213779</v>
      </c>
      <c r="BR12" s="1084" t="s">
        <v>1544</v>
      </c>
      <c r="BS12" s="1445"/>
      <c r="BT12" s="1086"/>
      <c r="BU12" s="1086"/>
      <c r="BV12" s="1086"/>
      <c r="BW12" s="1706"/>
      <c r="BX12" s="1706"/>
    </row>
    <row customHeight="1" ht="11.25">
      <c r="A13" s="1090" t="s">
        <v>1593</v>
      </c>
      <c r="B13" s="1091">
        <v>2011</v>
      </c>
      <c r="E13" s="1092" t="s">
        <v>1594</v>
      </c>
      <c r="F13" s="1109"/>
      <c r="I13" s="1092" t="s">
        <v>152</v>
      </c>
      <c r="K13" s="1115" t="s">
        <v>1543</v>
      </c>
      <c r="V13" s="386" t="s">
        <v>152</v>
      </c>
      <c r="W13" s="1105"/>
      <c r="X13" s="1105"/>
      <c r="Y13" s="1105"/>
      <c r="AW13" s="1136" t="s">
        <v>150</v>
      </c>
      <c r="AX13" s="1136" t="s">
        <v>150</v>
      </c>
      <c r="BB13" s="1136" t="s">
        <v>1595</v>
      </c>
      <c r="BC13" s="1136" t="s">
        <v>1596</v>
      </c>
      <c r="BE13" s="1136">
        <v>2011</v>
      </c>
      <c r="BF13" s="1136" t="s">
        <v>1597</v>
      </c>
      <c r="BH13" s="1084" t="s">
        <v>1598</v>
      </c>
      <c r="BJ13" s="1084" t="s">
        <v>1580</v>
      </c>
      <c r="BL13" s="1084" t="s">
        <v>1580</v>
      </c>
      <c r="BN13" s="1084" t="s">
        <v>1599</v>
      </c>
      <c r="BQ13" s="1297">
        <v>4213783</v>
      </c>
      <c r="BR13" s="1084" t="s">
        <v>1559</v>
      </c>
      <c r="BS13" s="1445"/>
      <c r="BT13" s="1086"/>
      <c r="BU13" s="1086"/>
      <c r="BV13" s="1086"/>
      <c r="BW13" s="1710"/>
      <c r="BX13" s="1706"/>
    </row>
    <row customHeight="1" ht="11.25">
      <c r="A14" s="1090" t="s">
        <v>1600</v>
      </c>
      <c r="B14" s="1091">
        <v>2012</v>
      </c>
      <c r="I14" s="1092" t="s">
        <v>158</v>
      </c>
      <c r="J14" s="1083" t="s">
        <v>1601</v>
      </c>
      <c r="N14" s="1083" t="s">
        <v>1602</v>
      </c>
      <c r="V14" s="1099">
        <v>13</v>
      </c>
      <c r="W14" s="1100"/>
      <c r="X14" s="1100" t="s">
        <v>1411</v>
      </c>
      <c r="Y14" s="1091" t="s">
        <v>1379</v>
      </c>
      <c r="AW14" s="1136" t="s">
        <v>152</v>
      </c>
      <c r="AX14" s="1136" t="s">
        <v>152</v>
      </c>
      <c r="AZ14" s="1083" t="s">
        <v>1603</v>
      </c>
      <c r="BB14" s="1136" t="s">
        <v>1604</v>
      </c>
      <c r="BC14" s="1136" t="s">
        <v>1596</v>
      </c>
      <c r="BE14" s="1136">
        <v>2012</v>
      </c>
      <c r="BH14" s="1084" t="s">
        <v>1519</v>
      </c>
      <c r="BJ14" s="1233" t="s">
        <v>1605</v>
      </c>
      <c r="BL14" s="1233" t="s">
        <v>1605</v>
      </c>
      <c r="BN14" s="1084" t="s">
        <v>1606</v>
      </c>
      <c r="BQ14" s="1297">
        <v>4213782</v>
      </c>
      <c r="BR14" s="1084" t="s">
        <v>253</v>
      </c>
      <c r="BS14" s="1445"/>
      <c r="BT14" s="1086"/>
      <c r="BU14" s="1086"/>
      <c r="BV14" s="1086"/>
      <c r="BW14" s="1710"/>
      <c r="BX14" s="1706"/>
    </row>
    <row customHeight="1" ht="19.5">
      <c r="A15" s="1090" t="s">
        <v>1607</v>
      </c>
      <c r="B15" s="1091">
        <v>2013</v>
      </c>
      <c r="E15" s="1714" t="s">
        <v>1608</v>
      </c>
      <c r="G15" s="1083" t="s">
        <v>1609</v>
      </c>
      <c r="H15" s="1083" t="s">
        <v>1610</v>
      </c>
      <c r="I15" s="1094" t="s">
        <v>162</v>
      </c>
      <c r="J15" s="1105" t="s">
        <v>736</v>
      </c>
      <c r="N15" s="1174" t="s">
        <v>1611</v>
      </c>
      <c r="X15" s="1103"/>
      <c r="AW15" s="1136" t="s">
        <v>158</v>
      </c>
      <c r="AX15" s="1136" t="s">
        <v>158</v>
      </c>
      <c r="AZ15" s="1136" t="s">
        <v>1530</v>
      </c>
      <c r="BB15" s="1136" t="s">
        <v>1612</v>
      </c>
      <c r="BC15" s="1136" t="s">
        <v>1596</v>
      </c>
      <c r="BE15" s="1136">
        <v>2013</v>
      </c>
      <c r="BH15" s="1084" t="s">
        <v>1535</v>
      </c>
      <c r="BJ15" s="1233" t="s">
        <v>1613</v>
      </c>
      <c r="BL15" s="1233" t="s">
        <v>1613</v>
      </c>
      <c r="BN15" s="1084" t="s">
        <v>1614</v>
      </c>
      <c r="BR15" s="1086"/>
      <c r="BS15" s="1447"/>
      <c r="BT15" s="1086"/>
      <c r="BU15" s="1086"/>
      <c r="BV15" s="1086"/>
      <c r="BW15" s="1710"/>
      <c r="BX15" s="1706"/>
    </row>
    <row customHeight="1" ht="21">
      <c r="A16" s="1886" t="s">
        <v>1615</v>
      </c>
      <c r="B16" s="1091">
        <v>2014</v>
      </c>
      <c r="E16" s="1715" t="s">
        <v>1616</v>
      </c>
      <c r="G16" s="1092" t="s">
        <v>1617</v>
      </c>
      <c r="H16" s="1092" t="s">
        <v>1618</v>
      </c>
      <c r="I16" s="1094" t="s">
        <v>167</v>
      </c>
      <c r="J16" s="1105" t="s">
        <v>709</v>
      </c>
      <c r="N16" s="1174" t="s">
        <v>1619</v>
      </c>
      <c r="AW16" s="1136" t="s">
        <v>162</v>
      </c>
      <c r="AX16" s="1136" t="s">
        <v>162</v>
      </c>
      <c r="AZ16" s="1136" t="s">
        <v>1546</v>
      </c>
      <c r="BB16" s="1136" t="s">
        <v>1620</v>
      </c>
      <c r="BC16" s="1136" t="s">
        <v>1596</v>
      </c>
      <c r="BE16" s="1136">
        <v>2014</v>
      </c>
      <c r="BH16" s="1084" t="s">
        <v>1551</v>
      </c>
      <c r="BJ16" s="1233" t="s">
        <v>1621</v>
      </c>
      <c r="BL16" s="1233" t="s">
        <v>1621</v>
      </c>
      <c r="BN16" s="1084" t="s">
        <v>1622</v>
      </c>
      <c r="BR16" s="1086"/>
      <c r="BS16" s="1447"/>
      <c r="BT16" s="1086"/>
      <c r="BU16" s="1086"/>
      <c r="BV16" s="1086"/>
      <c r="BW16" s="1710"/>
      <c r="BX16" s="1706"/>
    </row>
    <row customHeight="1" ht="21">
      <c r="A17" s="1090" t="s">
        <v>1623</v>
      </c>
      <c r="B17" s="1091">
        <v>2015</v>
      </c>
      <c r="G17" s="1092" t="s">
        <v>1571</v>
      </c>
      <c r="H17" s="1092" t="s">
        <v>1571</v>
      </c>
      <c r="I17" s="1092" t="s">
        <v>114</v>
      </c>
      <c r="N17" s="1174" t="s">
        <v>1624</v>
      </c>
      <c r="X17" s="1103"/>
      <c r="AW17" s="1136" t="s">
        <v>167</v>
      </c>
      <c r="AX17" s="1136" t="s">
        <v>167</v>
      </c>
      <c r="AZ17" s="1136" t="s">
        <v>1625</v>
      </c>
      <c r="BB17" s="1136" t="s">
        <v>1626</v>
      </c>
      <c r="BC17" s="1136" t="s">
        <v>1479</v>
      </c>
      <c r="BE17" s="1136">
        <v>2015</v>
      </c>
      <c r="BH17" s="1084" t="s">
        <v>1567</v>
      </c>
      <c r="BJ17" s="1233" t="s">
        <v>1627</v>
      </c>
      <c r="BL17" s="1233" t="s">
        <v>1627</v>
      </c>
      <c r="BN17" s="1084" t="s">
        <v>1628</v>
      </c>
      <c r="BR17" s="1083" t="s">
        <v>1422</v>
      </c>
      <c r="BS17" s="1444"/>
      <c r="BU17" s="1083" t="s">
        <v>1629</v>
      </c>
      <c r="BV17" s="1086"/>
      <c r="BW17" s="1706"/>
      <c r="BX17" s="1708" t="s">
        <v>1630</v>
      </c>
      <c r="CA17" s="1083" t="s">
        <v>1631</v>
      </c>
      <c r="CD17" s="1083" t="s">
        <v>1632</v>
      </c>
    </row>
    <row customHeight="1" ht="21">
      <c r="A18" s="1090" t="s">
        <v>1633</v>
      </c>
      <c r="B18" s="1091">
        <v>2016</v>
      </c>
      <c r="E18" s="2021" t="s">
        <v>1634</v>
      </c>
      <c r="I18" s="1092" t="s">
        <v>1635</v>
      </c>
      <c r="N18" s="1174" t="s">
        <v>1636</v>
      </c>
      <c r="X18" s="1103"/>
      <c r="AW18" s="1136" t="s">
        <v>114</v>
      </c>
      <c r="AX18" s="1136" t="s">
        <v>114</v>
      </c>
      <c r="BB18" s="1136" t="s">
        <v>1637</v>
      </c>
      <c r="BC18" s="1136" t="s">
        <v>1479</v>
      </c>
      <c r="BE18" s="1136">
        <v>2016</v>
      </c>
      <c r="BH18" s="1084" t="s">
        <v>1581</v>
      </c>
      <c r="BJ18" s="1233" t="s">
        <v>1638</v>
      </c>
      <c r="BL18" s="1233" t="s">
        <v>1638</v>
      </c>
      <c r="BN18" s="1084" t="s">
        <v>1639</v>
      </c>
      <c r="BQ18" s="1448" t="s">
        <v>1451</v>
      </c>
      <c r="BR18" s="1175" t="s">
        <v>1452</v>
      </c>
      <c r="BS18" s="290"/>
      <c r="BT18" s="1448" t="s">
        <v>1640</v>
      </c>
      <c r="BU18" s="1175" t="s">
        <v>1641</v>
      </c>
      <c r="BV18" s="1086"/>
      <c r="BW18" s="1713" t="s">
        <v>1642</v>
      </c>
      <c r="BX18" s="1707" t="s">
        <v>1643</v>
      </c>
      <c r="BZ18" s="1448" t="s">
        <v>1644</v>
      </c>
      <c r="CA18" s="1175" t="s">
        <v>1645</v>
      </c>
      <c r="CC18" s="1448" t="s">
        <v>1646</v>
      </c>
      <c r="CD18" s="1175" t="s">
        <v>1647</v>
      </c>
    </row>
    <row customHeight="1" ht="21">
      <c r="A19" s="1886" t="s">
        <v>1648</v>
      </c>
      <c r="B19" s="1091">
        <v>2017</v>
      </c>
      <c r="E19" s="1090" t="s">
        <v>223</v>
      </c>
      <c r="I19" s="1092" t="s">
        <v>102</v>
      </c>
      <c r="N19" s="1174" t="s">
        <v>1649</v>
      </c>
      <c r="X19" s="1103"/>
      <c r="AW19" s="1136" t="s">
        <v>1635</v>
      </c>
      <c r="AX19" s="1136" t="s">
        <v>1635</v>
      </c>
      <c r="AZ19" s="1083" t="s">
        <v>1650</v>
      </c>
      <c r="BB19" s="1136" t="s">
        <v>1651</v>
      </c>
      <c r="BC19" s="1136" t="s">
        <v>1479</v>
      </c>
      <c r="BE19" s="1136">
        <v>2017</v>
      </c>
      <c r="BH19" s="1084" t="s">
        <v>1652</v>
      </c>
      <c r="BJ19" s="1233" t="s">
        <v>1653</v>
      </c>
      <c r="BL19" s="1233" t="s">
        <v>1653</v>
      </c>
      <c r="BQ19" s="1297">
        <v>4190064</v>
      </c>
      <c r="BR19" s="1084" t="s">
        <v>1654</v>
      </c>
      <c r="BS19" s="1445"/>
      <c r="BT19" s="1297">
        <v>4189671</v>
      </c>
      <c r="BU19" s="1084" t="s">
        <v>1655</v>
      </c>
      <c r="BV19" s="1086"/>
      <c r="BW19" s="1711">
        <v>4189706</v>
      </c>
      <c r="BX19" s="1709" t="s">
        <v>1656</v>
      </c>
      <c r="BZ19" s="1297">
        <v>4189714</v>
      </c>
      <c r="CA19" s="1084" t="s">
        <v>1657</v>
      </c>
      <c r="CC19" s="1297">
        <v>4189708</v>
      </c>
      <c r="CD19" s="1084" t="s">
        <v>1658</v>
      </c>
    </row>
    <row customHeight="1" ht="21">
      <c r="A20" s="1090" t="s">
        <v>1659</v>
      </c>
      <c r="B20" s="1091">
        <v>2018</v>
      </c>
      <c r="E20" s="1090" t="s">
        <v>1411</v>
      </c>
      <c r="I20" s="1092" t="s">
        <v>132</v>
      </c>
      <c r="N20" s="1174" t="s">
        <v>1660</v>
      </c>
      <c r="AW20" s="1136" t="s">
        <v>102</v>
      </c>
      <c r="AX20" s="1136" t="s">
        <v>102</v>
      </c>
      <c r="AZ20" s="1136" t="s">
        <v>1661</v>
      </c>
      <c r="BB20" s="1136" t="s">
        <v>1662</v>
      </c>
      <c r="BC20" s="1136" t="s">
        <v>1596</v>
      </c>
      <c r="BE20" s="1136">
        <v>2018</v>
      </c>
      <c r="BH20" s="1084" t="s">
        <v>1592</v>
      </c>
      <c r="BJ20" s="1084" t="s">
        <v>1519</v>
      </c>
      <c r="BL20" s="1084" t="s">
        <v>1519</v>
      </c>
      <c r="BQ20" s="1297">
        <v>4190065</v>
      </c>
      <c r="BR20" s="1084" t="s">
        <v>1663</v>
      </c>
      <c r="BS20" s="1445"/>
      <c r="BT20" s="1297">
        <v>4189672</v>
      </c>
      <c r="BU20" s="1084" t="s">
        <v>1664</v>
      </c>
      <c r="BV20" s="1086"/>
      <c r="BW20" s="1711">
        <v>4189705</v>
      </c>
      <c r="BX20" s="1709" t="s">
        <v>1665</v>
      </c>
      <c r="BZ20" s="1297">
        <v>4189713</v>
      </c>
      <c r="CA20" s="1084" t="s">
        <v>1665</v>
      </c>
      <c r="CC20" s="1297">
        <v>4189709</v>
      </c>
      <c r="CD20" s="1084" t="s">
        <v>1666</v>
      </c>
    </row>
    <row customHeight="1" ht="21">
      <c r="A21" s="1090" t="s">
        <v>1667</v>
      </c>
      <c r="B21" s="1091">
        <v>2019</v>
      </c>
      <c r="I21" s="1092" t="s">
        <v>1668</v>
      </c>
      <c r="N21" s="1174" t="s">
        <v>1669</v>
      </c>
      <c r="AW21" s="1136" t="s">
        <v>132</v>
      </c>
      <c r="AX21" s="1136" t="s">
        <v>132</v>
      </c>
      <c r="AZ21" s="1136" t="s">
        <v>1670</v>
      </c>
      <c r="BB21" s="1136" t="s">
        <v>1671</v>
      </c>
      <c r="BC21" s="1136" t="s">
        <v>1479</v>
      </c>
      <c r="BE21" s="1136">
        <v>2019</v>
      </c>
      <c r="BH21" s="1084" t="s">
        <v>1599</v>
      </c>
      <c r="BJ21" s="1084" t="s">
        <v>1535</v>
      </c>
      <c r="BL21" s="1084" t="s">
        <v>1535</v>
      </c>
      <c r="BQ21" s="1297">
        <v>4190066</v>
      </c>
      <c r="BR21" s="1084" t="s">
        <v>1672</v>
      </c>
      <c r="BS21" s="1445"/>
      <c r="BT21" s="1297">
        <v>4189673</v>
      </c>
      <c r="BU21" s="1084" t="s">
        <v>1673</v>
      </c>
      <c r="BV21" s="1086"/>
      <c r="BW21" s="1711">
        <v>4189707</v>
      </c>
      <c r="BX21" s="1709" t="s">
        <v>1674</v>
      </c>
      <c r="BZ21" s="1297">
        <v>4189712</v>
      </c>
      <c r="CA21" s="1084" t="s">
        <v>1675</v>
      </c>
      <c r="CC21" s="1297">
        <v>4189710</v>
      </c>
      <c r="CD21" s="1084" t="s">
        <v>1676</v>
      </c>
    </row>
    <row customHeight="1" ht="21">
      <c r="A22" s="1090" t="s">
        <v>1677</v>
      </c>
      <c r="B22" s="1091">
        <v>2020</v>
      </c>
      <c r="N22" s="1174" t="s">
        <v>1678</v>
      </c>
      <c r="AW22" s="1136" t="s">
        <v>1668</v>
      </c>
      <c r="AX22" s="1136" t="s">
        <v>1668</v>
      </c>
      <c r="AZ22" s="1136" t="s">
        <v>1679</v>
      </c>
      <c r="BB22" s="1136" t="s">
        <v>1680</v>
      </c>
      <c r="BC22" s="1136" t="s">
        <v>1479</v>
      </c>
      <c r="BE22" s="1136">
        <v>2020</v>
      </c>
      <c r="BH22" s="1084" t="s">
        <v>1606</v>
      </c>
      <c r="BJ22" s="1084" t="s">
        <v>1551</v>
      </c>
      <c r="BL22" s="1084" t="s">
        <v>1551</v>
      </c>
      <c r="BQ22" s="1297">
        <v>4190067</v>
      </c>
      <c r="BR22" s="1084" t="s">
        <v>1681</v>
      </c>
      <c r="BS22" s="1445"/>
      <c r="BT22" s="1297">
        <v>4189674</v>
      </c>
      <c r="BU22" s="1084" t="s">
        <v>1682</v>
      </c>
      <c r="BV22" s="1086"/>
      <c r="BW22" s="1086"/>
      <c r="CC22" s="1297">
        <v>4189711</v>
      </c>
      <c r="CD22" s="1084" t="s">
        <v>446</v>
      </c>
    </row>
    <row customHeight="1" ht="21">
      <c r="A23" s="1090" t="s">
        <v>1683</v>
      </c>
      <c r="B23" s="1091">
        <v>2021</v>
      </c>
      <c r="AW23" s="1136" t="s">
        <v>1684</v>
      </c>
      <c r="AX23" s="1136" t="s">
        <v>1684</v>
      </c>
      <c r="AZ23" s="1136" t="s">
        <v>1685</v>
      </c>
      <c r="BB23" s="1136" t="s">
        <v>1686</v>
      </c>
      <c r="BC23" s="1136" t="s">
        <v>1389</v>
      </c>
      <c r="BE23" s="1136">
        <v>2021</v>
      </c>
      <c r="BH23" s="1084" t="s">
        <v>1614</v>
      </c>
      <c r="BJ23" s="1084" t="s">
        <v>1567</v>
      </c>
      <c r="BL23" s="1084" t="s">
        <v>1567</v>
      </c>
      <c r="BQ23" s="1297">
        <v>4190068</v>
      </c>
      <c r="BR23" s="1084" t="s">
        <v>1687</v>
      </c>
      <c r="BS23" s="1445"/>
      <c r="BT23" s="1297">
        <v>4189675</v>
      </c>
      <c r="BU23" s="1084" t="s">
        <v>1688</v>
      </c>
      <c r="BV23" s="1086"/>
      <c r="BW23" s="1086"/>
      <c r="CC23" s="1297">
        <v>5110778</v>
      </c>
      <c r="CD23" s="1084" t="s">
        <v>1689</v>
      </c>
    </row>
    <row customHeight="1" ht="21">
      <c r="A24" s="1090" t="s">
        <v>1690</v>
      </c>
      <c r="B24" s="1091">
        <v>2022</v>
      </c>
      <c r="AW24" s="1136" t="s">
        <v>1691</v>
      </c>
      <c r="AX24" s="1136" t="s">
        <v>1691</v>
      </c>
      <c r="AZ24" s="1136" t="s">
        <v>1692</v>
      </c>
      <c r="BB24" s="1136" t="s">
        <v>1693</v>
      </c>
      <c r="BC24" s="1136" t="s">
        <v>1694</v>
      </c>
      <c r="BE24" s="1136">
        <v>2022</v>
      </c>
      <c r="BH24" s="1084" t="s">
        <v>1622</v>
      </c>
      <c r="BJ24" s="1084" t="s">
        <v>1581</v>
      </c>
      <c r="BL24" s="1084" t="s">
        <v>1581</v>
      </c>
      <c r="BQ24" s="1297">
        <v>4190069</v>
      </c>
      <c r="BR24" s="1084" t="s">
        <v>1695</v>
      </c>
      <c r="BS24" s="1445"/>
      <c r="BT24" s="1297">
        <v>4189676</v>
      </c>
      <c r="BU24" s="1084" t="s">
        <v>1696</v>
      </c>
      <c r="BV24" s="1086"/>
      <c r="BW24" s="1086"/>
      <c r="CC24" s="1297">
        <v>25575374</v>
      </c>
      <c r="CD24" s="1084" t="s">
        <v>1697</v>
      </c>
    </row>
    <row customHeight="1" ht="11.25">
      <c r="A25" s="1090" t="s">
        <v>1698</v>
      </c>
      <c r="B25" s="1091">
        <v>2023</v>
      </c>
      <c r="AW25" s="1136" t="s">
        <v>1699</v>
      </c>
      <c r="AX25" s="1136" t="s">
        <v>1699</v>
      </c>
      <c r="AZ25" s="1136" t="s">
        <v>1700</v>
      </c>
      <c r="BB25" s="1136" t="s">
        <v>1701</v>
      </c>
      <c r="BC25" s="1136" t="s">
        <v>1694</v>
      </c>
      <c r="BE25" s="1136">
        <v>2023</v>
      </c>
      <c r="BH25" s="1084" t="s">
        <v>1628</v>
      </c>
      <c r="BJ25" s="1084" t="s">
        <v>1652</v>
      </c>
      <c r="BL25" s="1084" t="s">
        <v>1652</v>
      </c>
      <c r="BQ25" s="1297">
        <v>4190070</v>
      </c>
      <c r="BR25" s="1084" t="s">
        <v>1702</v>
      </c>
      <c r="BS25" s="1445"/>
      <c r="BT25" s="1297">
        <v>4189677</v>
      </c>
      <c r="BU25" s="1084" t="s">
        <v>1703</v>
      </c>
      <c r="BV25" s="1086"/>
      <c r="BW25" s="1086"/>
    </row>
    <row customHeight="1" ht="11.25">
      <c r="A26" s="1090" t="s">
        <v>1704</v>
      </c>
      <c r="B26" s="1091">
        <v>2024</v>
      </c>
      <c r="J26" s="1747" t="s">
        <v>1705</v>
      </c>
      <c r="AX26" s="1136" t="s">
        <v>1706</v>
      </c>
      <c r="AZ26" s="1136" t="s">
        <v>1574</v>
      </c>
      <c r="BB26" s="1136" t="s">
        <v>1707</v>
      </c>
      <c r="BC26" s="1136" t="s">
        <v>1694</v>
      </c>
      <c r="BE26" s="1136">
        <v>2024</v>
      </c>
      <c r="BH26" s="1084" t="s">
        <v>1639</v>
      </c>
      <c r="BJ26" s="1084" t="s">
        <v>1592</v>
      </c>
      <c r="BL26" s="1084" t="s">
        <v>1592</v>
      </c>
      <c r="BQ26" s="1297">
        <v>4190071</v>
      </c>
      <c r="BR26" s="1084" t="s">
        <v>1708</v>
      </c>
      <c r="BS26" s="1445"/>
      <c r="BV26" s="1086"/>
      <c r="BW26" s="1086"/>
    </row>
    <row customHeight="1" ht="11.25">
      <c r="A27" s="1090" t="s">
        <v>1709</v>
      </c>
      <c r="B27" s="1091">
        <v>2025</v>
      </c>
      <c r="J27" s="192" t="s">
        <v>108</v>
      </c>
      <c r="AX27" s="1136" t="s">
        <v>173</v>
      </c>
      <c r="BB27" s="1136" t="s">
        <v>1710</v>
      </c>
      <c r="BC27" s="1136" t="s">
        <v>1694</v>
      </c>
      <c r="BE27" s="1136">
        <v>2025</v>
      </c>
      <c r="BH27" s="1086" t="s">
        <v>28</v>
      </c>
      <c r="BJ27" s="1084" t="s">
        <v>1599</v>
      </c>
      <c r="BL27" s="1084" t="s">
        <v>1599</v>
      </c>
      <c r="BN27" s="1086" t="s">
        <v>28</v>
      </c>
      <c r="BQ27" s="1297">
        <v>4190072</v>
      </c>
      <c r="BR27" s="1084" t="s">
        <v>1711</v>
      </c>
      <c r="BS27" s="1445"/>
      <c r="BV27" s="1086"/>
      <c r="BW27" s="1086"/>
    </row>
    <row customHeight="1" ht="11.25">
      <c r="A28" s="1090" t="s">
        <v>1712</v>
      </c>
      <c r="D28" s="1117"/>
      <c r="E28" s="1118"/>
      <c r="F28" s="1118"/>
      <c r="H28" s="1119" t="s">
        <v>1713</v>
      </c>
      <c r="AX28" s="1136" t="s">
        <v>1714</v>
      </c>
      <c r="AZ28" s="1083" t="s">
        <v>1715</v>
      </c>
      <c r="BB28" s="1136" t="s">
        <v>1716</v>
      </c>
      <c r="BC28" s="1136" t="s">
        <v>1717</v>
      </c>
      <c r="BE28" s="1136">
        <v>2026</v>
      </c>
      <c r="BH28" s="1086" t="s">
        <v>28</v>
      </c>
      <c r="BJ28" s="1084" t="s">
        <v>1606</v>
      </c>
      <c r="BL28" s="1084" t="s">
        <v>1606</v>
      </c>
      <c r="BN28" s="1086" t="s">
        <v>28</v>
      </c>
      <c r="BQ28" s="1297">
        <v>4190073</v>
      </c>
      <c r="BR28" s="1084" t="s">
        <v>1718</v>
      </c>
      <c r="BS28" s="1445"/>
      <c r="BV28" s="1086"/>
      <c r="BW28" s="1086"/>
    </row>
    <row customHeight="1" ht="11.25">
      <c r="A29" s="1090" t="s">
        <v>1719</v>
      </c>
      <c r="D29" s="1120" t="s">
        <v>1720</v>
      </c>
      <c r="E29" s="1121" t="str">
        <f>IF(TEMPLATE_GROUP="","",INDEX(StartDateList,MATCH(TEMPLATE_GROUP,CodeTemplateList,0),1))</f>
        <v>01.01.2025</v>
      </c>
      <c r="F29" s="1121" t="str">
        <f>IF(TEMPLATE_GROUP="","",INDEX(EndDateList,MATCH(TEMPLATE_GROUP,CodeTemplateList,0),1))</f>
        <v>31.12.2025</v>
      </c>
      <c r="H29" s="1122" t="s">
        <v>1721</v>
      </c>
      <c r="AX29" s="1136" t="s">
        <v>1722</v>
      </c>
      <c r="AZ29" s="1136" t="s">
        <v>1375</v>
      </c>
      <c r="BB29" s="1136" t="s">
        <v>1574</v>
      </c>
      <c r="BC29" s="1107"/>
      <c r="BE29" s="1136">
        <v>2027</v>
      </c>
      <c r="BJ29" s="1084" t="s">
        <v>1614</v>
      </c>
      <c r="BL29" s="1084" t="s">
        <v>1614</v>
      </c>
    </row>
    <row customHeight="1" ht="11.25">
      <c r="A30" s="1090" t="s">
        <v>1723</v>
      </c>
      <c r="D30" s="1123"/>
      <c r="E30" s="1124"/>
      <c r="F30" s="1124"/>
      <c r="AX30" s="1136" t="s">
        <v>1724</v>
      </c>
      <c r="AZ30" s="1136" t="s">
        <v>1400</v>
      </c>
      <c r="BE30" s="1136">
        <v>2028</v>
      </c>
      <c r="BJ30" s="1084" t="s">
        <v>1725</v>
      </c>
      <c r="BL30" s="1084" t="s">
        <v>1725</v>
      </c>
    </row>
    <row customHeight="1" ht="12.75">
      <c r="A31" s="1090" t="s">
        <v>1726</v>
      </c>
      <c r="D31" s="1117"/>
      <c r="E31" s="1118"/>
      <c r="F31" s="1118"/>
      <c r="H31" s="1125"/>
      <c r="AX31" s="1136" t="s">
        <v>1727</v>
      </c>
      <c r="AZ31" s="1136" t="s">
        <v>1728</v>
      </c>
      <c r="BE31" s="1136">
        <v>2029</v>
      </c>
      <c r="BJ31" s="1084" t="s">
        <v>1729</v>
      </c>
      <c r="BL31" s="1084" t="s">
        <v>1729</v>
      </c>
    </row>
    <row customHeight="1" ht="11.25">
      <c r="A32" s="1090" t="s">
        <v>1730</v>
      </c>
      <c r="D32" s="1120" t="s">
        <v>1731</v>
      </c>
      <c r="E32" s="1121" t="str">
        <f>IF(TEMPLATE_GROUP="","",INDEX(StartDateList,MATCH(TEMPLATE_GROUP,CodeTemplateList,0),1))</f>
        <v>01.01.2025</v>
      </c>
      <c r="F32" s="1121" t="str">
        <f>IF(TEMPLATE_GROUP="","",INDEX(EndDateList,MATCH(TEMPLATE_GROUP,CodeTemplateList,0),1))</f>
        <v>31.12.2025</v>
      </c>
      <c r="H32" s="1126" t="s">
        <v>1732</v>
      </c>
      <c r="O32" s="1090" t="s">
        <v>1372</v>
      </c>
      <c r="AX32" s="1136" t="s">
        <v>1733</v>
      </c>
      <c r="AZ32" s="1136" t="s">
        <v>1467</v>
      </c>
      <c r="BE32" s="1136">
        <v>2030</v>
      </c>
      <c r="BJ32" s="1084" t="s">
        <v>1622</v>
      </c>
      <c r="BL32" s="1084" t="s">
        <v>1622</v>
      </c>
    </row>
    <row customHeight="1" ht="11.25">
      <c r="A33" s="1090" t="s">
        <v>1734</v>
      </c>
      <c r="O33" s="1090" t="s">
        <v>1398</v>
      </c>
      <c r="AX33" s="1136" t="s">
        <v>1735</v>
      </c>
      <c r="AZ33" s="1136" t="s">
        <v>1374</v>
      </c>
      <c r="BE33" s="1136">
        <v>2031</v>
      </c>
      <c r="BJ33" s="1084" t="s">
        <v>1628</v>
      </c>
      <c r="BL33" s="1084" t="s">
        <v>1628</v>
      </c>
    </row>
    <row customHeight="1" ht="11.25">
      <c r="A34" s="1090" t="s">
        <v>1736</v>
      </c>
      <c r="O34" s="1090" t="s">
        <v>1433</v>
      </c>
      <c r="AX34" s="1136" t="s">
        <v>1737</v>
      </c>
      <c r="BE34" s="1136">
        <v>2032</v>
      </c>
      <c r="BJ34" s="1084" t="s">
        <v>1639</v>
      </c>
      <c r="BL34" s="1084" t="s">
        <v>1639</v>
      </c>
    </row>
    <row customHeight="1" ht="11.25">
      <c r="A35" s="1090" t="s">
        <v>1738</v>
      </c>
      <c r="O35" s="1090" t="s">
        <v>1465</v>
      </c>
      <c r="AX35" s="1136" t="s">
        <v>1739</v>
      </c>
      <c r="AZ35" s="1083" t="s">
        <v>1740</v>
      </c>
      <c r="BE35" s="1136">
        <v>2033</v>
      </c>
      <c r="BL35" s="1084" t="s">
        <v>1741</v>
      </c>
    </row>
    <row customHeight="1" ht="11.25">
      <c r="A36" s="1886" t="s">
        <v>1742</v>
      </c>
      <c r="D36" s="1127" t="s">
        <v>1743</v>
      </c>
      <c r="E36" s="1128" t="s">
        <v>960</v>
      </c>
      <c r="F36" s="1129" t="str">
        <f>INDEX(E37:E41,MATCH(TEMPLATE_SPHERE,F37:F41,0))</f>
        <v>теплоснабжения</v>
      </c>
      <c r="G36" s="1129" t="str">
        <f>INDEX(G37:G41,MATCH(TEMPLATE_SPHERE,F37:F41,0))</f>
        <v>теплоснабжение</v>
      </c>
      <c r="O36" s="1090" t="s">
        <v>1490</v>
      </c>
      <c r="AX36" s="1136" t="s">
        <v>1744</v>
      </c>
      <c r="AZ36" s="1136" t="s">
        <v>1374</v>
      </c>
      <c r="BE36" s="1136">
        <v>2034</v>
      </c>
      <c r="BL36" s="1084" t="s">
        <v>1745</v>
      </c>
    </row>
    <row customHeight="1" ht="11.25">
      <c r="A37" s="1090" t="s">
        <v>1746</v>
      </c>
      <c r="E37" s="423" t="s">
        <v>1747</v>
      </c>
      <c r="F37" s="1130" t="s">
        <v>960</v>
      </c>
      <c r="G37" s="423" t="s">
        <v>1748</v>
      </c>
      <c r="O37" s="1090" t="s">
        <v>1509</v>
      </c>
      <c r="AX37" s="1136" t="s">
        <v>118</v>
      </c>
      <c r="AZ37" s="1136" t="s">
        <v>1399</v>
      </c>
      <c r="BE37" s="1136">
        <v>2035</v>
      </c>
    </row>
    <row customHeight="1" ht="11.25">
      <c r="A38" s="1090" t="s">
        <v>1749</v>
      </c>
      <c r="E38" s="423" t="s">
        <v>1750</v>
      </c>
      <c r="F38" s="1131" t="s">
        <v>1006</v>
      </c>
      <c r="G38" s="423" t="s">
        <v>1751</v>
      </c>
      <c r="O38" s="1090" t="s">
        <v>1526</v>
      </c>
      <c r="AX38" s="1136" t="s">
        <v>1752</v>
      </c>
      <c r="AZ38" s="1136" t="s">
        <v>1434</v>
      </c>
      <c r="BE38" s="1136">
        <v>2036</v>
      </c>
      <c r="BH38" s="1083" t="s">
        <v>1753</v>
      </c>
      <c r="BJ38" s="1083" t="s">
        <v>1754</v>
      </c>
      <c r="BL38" s="1083" t="s">
        <v>1755</v>
      </c>
      <c r="BN38" s="1083" t="s">
        <v>1756</v>
      </c>
    </row>
    <row customHeight="1" ht="11.25">
      <c r="A39" s="1090" t="s">
        <v>1757</v>
      </c>
      <c r="E39" s="423" t="s">
        <v>1758</v>
      </c>
      <c r="F39" s="1131" t="s">
        <v>1059</v>
      </c>
      <c r="G39" s="423" t="s">
        <v>1759</v>
      </c>
      <c r="O39" s="1090" t="s">
        <v>1542</v>
      </c>
      <c r="AX39" s="1136" t="s">
        <v>1760</v>
      </c>
      <c r="AZ39" s="1136" t="s">
        <v>1466</v>
      </c>
      <c r="BE39" s="1136">
        <v>2037</v>
      </c>
      <c r="BH39" s="1084" t="s">
        <v>1761</v>
      </c>
      <c r="BJ39" s="1233" t="s">
        <v>1761</v>
      </c>
      <c r="BL39" s="1233" t="s">
        <v>1761</v>
      </c>
      <c r="BN39" s="1084" t="s">
        <v>1762</v>
      </c>
    </row>
    <row customHeight="1" ht="11.25">
      <c r="A40" s="1090" t="s">
        <v>1763</v>
      </c>
      <c r="E40" s="423" t="s">
        <v>1764</v>
      </c>
      <c r="F40" s="1131" t="s">
        <v>1046</v>
      </c>
      <c r="G40" s="423" t="s">
        <v>1765</v>
      </c>
      <c r="O40" s="1090" t="s">
        <v>1558</v>
      </c>
      <c r="AX40" s="1136" t="s">
        <v>136</v>
      </c>
      <c r="BE40" s="1136">
        <v>2038</v>
      </c>
      <c r="BH40" s="1084" t="s">
        <v>1766</v>
      </c>
      <c r="BJ40" s="1233" t="s">
        <v>1179</v>
      </c>
      <c r="BL40" s="1233" t="s">
        <v>1179</v>
      </c>
      <c r="BN40" s="1084" t="s">
        <v>1213</v>
      </c>
    </row>
    <row customHeight="1" ht="11.25">
      <c r="A41" s="1090" t="s">
        <v>1767</v>
      </c>
      <c r="E41" s="423" t="s">
        <v>1768</v>
      </c>
      <c r="F41" s="1131" t="s">
        <v>1769</v>
      </c>
      <c r="G41" s="423" t="s">
        <v>1768</v>
      </c>
      <c r="O41" s="1090" t="s">
        <v>1574</v>
      </c>
      <c r="AX41" s="1136" t="s">
        <v>1770</v>
      </c>
      <c r="AZ41" s="1083" t="s">
        <v>1771</v>
      </c>
      <c r="BE41" s="1136">
        <v>2039</v>
      </c>
      <c r="BH41" s="1084" t="s">
        <v>1772</v>
      </c>
      <c r="BJ41" s="1233" t="s">
        <v>1175</v>
      </c>
      <c r="BL41" s="1233" t="s">
        <v>1175</v>
      </c>
      <c r="BN41" s="1084" t="s">
        <v>1200</v>
      </c>
    </row>
    <row customHeight="1" ht="11.25">
      <c r="A42" s="1090" t="s">
        <v>1773</v>
      </c>
      <c r="AX42" s="1136" t="s">
        <v>1774</v>
      </c>
      <c r="AZ42" s="1136" t="s">
        <v>1372</v>
      </c>
      <c r="BE42" s="1136">
        <v>2040</v>
      </c>
      <c r="BH42" s="1084" t="s">
        <v>1197</v>
      </c>
      <c r="BJ42" s="1233" t="s">
        <v>1177</v>
      </c>
      <c r="BL42" s="1233" t="s">
        <v>1177</v>
      </c>
      <c r="BN42" s="1084" t="s">
        <v>1775</v>
      </c>
    </row>
    <row customHeight="1" ht="11.25">
      <c r="A43" s="1090" t="s">
        <v>1776</v>
      </c>
      <c r="AX43" s="1136" t="s">
        <v>146</v>
      </c>
      <c r="AZ43" s="1136" t="s">
        <v>1398</v>
      </c>
      <c r="BE43" s="1136">
        <v>2041</v>
      </c>
      <c r="BH43" s="1084" t="s">
        <v>1777</v>
      </c>
      <c r="BJ43" s="1233" t="s">
        <v>1772</v>
      </c>
      <c r="BL43" s="1233" t="s">
        <v>1772</v>
      </c>
      <c r="BN43" s="1084" t="s">
        <v>1778</v>
      </c>
    </row>
    <row customHeight="1" ht="11.25">
      <c r="A44" s="1090" t="s">
        <v>1779</v>
      </c>
      <c r="G44" s="1110">
        <f>YEAR(TODAY())</f>
        <v>2025</v>
      </c>
      <c r="I44" s="815" t="s">
        <v>1780</v>
      </c>
      <c r="J44" s="1105" t="s">
        <v>1781</v>
      </c>
      <c r="K44" s="1105" t="s">
        <v>1782</v>
      </c>
      <c r="AX44" s="1136" t="s">
        <v>1783</v>
      </c>
      <c r="AZ44" s="1136" t="s">
        <v>1433</v>
      </c>
      <c r="BE44" s="1136">
        <v>2042</v>
      </c>
      <c r="BH44" s="1084" t="s">
        <v>1784</v>
      </c>
      <c r="BJ44" s="1233" t="s">
        <v>1197</v>
      </c>
      <c r="BL44" s="1233" t="s">
        <v>1197</v>
      </c>
      <c r="BN44" s="1084" t="s">
        <v>1785</v>
      </c>
    </row>
    <row customHeight="1" ht="11.25">
      <c r="A45" s="1090" t="s">
        <v>1786</v>
      </c>
      <c r="D45" s="1127" t="s">
        <v>1787</v>
      </c>
      <c r="E45" s="1128" t="s">
        <v>1788</v>
      </c>
      <c r="F45" s="813" t="s">
        <v>1789</v>
      </c>
      <c r="G45" s="812" t="s">
        <v>1790</v>
      </c>
      <c r="H45" s="815" t="s">
        <v>1791</v>
      </c>
      <c r="I45" s="1757">
        <f>INDEX(PeriodIsEmptyList,MATCH(TEMPLATE_GROUP,CodeTemplateList,0),1)</f>
        <v>0</v>
      </c>
      <c r="J45" s="1760" t="str">
        <f>INDEX(NameTemplatesInTitleList,MATCH(TEMPLATE_GROUP,CodeTemplateList,0),1)</f>
        <v>Показатели, подлежащие раскрытию в сфере теплоснабжения (цены и тарифы)</v>
      </c>
      <c r="K45" s="176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6" t="s">
        <v>1792</v>
      </c>
      <c r="AZ45" s="1136" t="s">
        <v>1465</v>
      </c>
      <c r="BE45" s="1136">
        <v>2043</v>
      </c>
      <c r="BH45" s="1084" t="s">
        <v>1793</v>
      </c>
      <c r="BJ45" s="1233" t="s">
        <v>1191</v>
      </c>
      <c r="BL45" s="1233" t="s">
        <v>1191</v>
      </c>
      <c r="BN45" s="1084" t="s">
        <v>1794</v>
      </c>
    </row>
    <row customHeight="1" ht="11.25">
      <c r="A46" s="1090" t="s">
        <v>1795</v>
      </c>
      <c r="E46" s="423" t="s">
        <v>26</v>
      </c>
      <c r="F46" s="1130" t="s">
        <v>1796</v>
      </c>
      <c r="G46" s="1132" t="str">
        <f>_xlfn.IFERROR(IF(TITLE_DATE_FIL="","01.01."&amp;CURRENT_YEAR,"01.01."&amp;YEAR(TITLE_DATE_FIL)),"01.01."&amp;CURRENT_YEAR)</f>
        <v>01.01.2025</v>
      </c>
      <c r="H46" s="1132" t="str">
        <f>_xlfn.IFERROR(IF(TITLE_DATE_FIL="","31.12."&amp;CURRENT_YEAR,"31.12."&amp;YEAR(TITLE_DATE_FIL)),"31.12."&amp;CURRENT_YEAR)</f>
        <v>31.12.2025</v>
      </c>
      <c r="I46" s="1758">
        <f>IF(TITLE_DATE_FIL="",TRUE,FALSE)</f>
        <v>1</v>
      </c>
      <c r="J46" s="1761" t="str">
        <f>"Общая информация о регулируемой организации ("&amp;TEMPLATE_SPHERE_RUS&amp;")"</f>
        <v>Общая информация о регулируемой организации (теплоснабжения)</v>
      </c>
      <c r="K46" s="1762"/>
      <c r="AX46" s="1136" t="s">
        <v>1797</v>
      </c>
      <c r="AZ46" s="1136" t="s">
        <v>1490</v>
      </c>
      <c r="BE46" s="1136">
        <v>2044</v>
      </c>
      <c r="BH46" s="1084" t="s">
        <v>1200</v>
      </c>
      <c r="BJ46" s="1233" t="s">
        <v>1181</v>
      </c>
      <c r="BL46" s="1233" t="s">
        <v>1181</v>
      </c>
      <c r="BN46" s="1084" t="s">
        <v>1798</v>
      </c>
    </row>
    <row customHeight="1" ht="11.25">
      <c r="A47" s="1090" t="s">
        <v>1799</v>
      </c>
      <c r="E47" s="423" t="s">
        <v>33</v>
      </c>
      <c r="F47" s="1131" t="s">
        <v>1800</v>
      </c>
      <c r="G47" s="1132" t="str">
        <f>_xlfn.IFERROR(IF(f_year="","01.01."&amp;CURRENT_YEAR,IF(LEN(f_quart)=0,"01.01."&amp;f_year,IF(f_quart="I квартал","01.01."&amp;f_year,IF(f_quart="II квартал","01.04."&amp;f_year,(IF(f_quart="III квартал","01.07."&amp;f_year,"01.10."&amp;f_year)))))),"01.01."&amp;CURRENT_YEAR)</f>
        <v>01.01.2025</v>
      </c>
      <c r="H47" s="1132" t="str">
        <f>_xlfn.IFERROR(IF(f_year="","31.12."&amp;CURRENT_YEAR,IF(LEN(f_quart)=0,"31.12."&amp;f_year,IF(f_quart="I квартал","31.03."&amp;f_year,IF(f_quart="II квартал","30.06."&amp;f_year,(IF(f_quart="III квартал","30.09."&amp;f_year,"31.12."&amp;f_year)))))),"31.12."&amp;CURRENT_YEAR)</f>
        <v>31.12.2025</v>
      </c>
      <c r="I47" s="1759">
        <f>IF(OR(f_year="",f_quart=""),TRUE,FALSE)</f>
        <v>1</v>
      </c>
      <c r="J47" s="176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2"/>
      <c r="AX47" s="1136" t="s">
        <v>1801</v>
      </c>
      <c r="AZ47" s="1136" t="s">
        <v>1509</v>
      </c>
      <c r="BE47" s="1136">
        <v>2045</v>
      </c>
      <c r="BH47" s="1084" t="s">
        <v>1775</v>
      </c>
      <c r="BJ47" s="1233" t="s">
        <v>1183</v>
      </c>
      <c r="BL47" s="1233" t="s">
        <v>1183</v>
      </c>
      <c r="BN47" s="1084" t="s">
        <v>1802</v>
      </c>
    </row>
    <row customHeight="1" ht="11.25">
      <c r="A48" s="1090" t="s">
        <v>1803</v>
      </c>
      <c r="E48" s="423" t="s">
        <v>1804</v>
      </c>
      <c r="F48" s="1131" t="s">
        <v>1805</v>
      </c>
      <c r="G48" s="1132" t="str">
        <f>_xlfn.IFERROR(IF(f_year="","01.01."&amp;CURRENT_YEAR,"01.01."&amp;f_year),"01.01."&amp;CURRENT_YEAR)</f>
        <v>01.01.2025</v>
      </c>
      <c r="H48" s="1132" t="str">
        <f>_xlfn.IFERROR(IF(f_year="","31.12."&amp;CURRENT_YEAR,"31.12."&amp;f_year),"31.12."&amp;CURRENT_YEAR)</f>
        <v>31.12.2025</v>
      </c>
      <c r="I48" s="1758">
        <f>IF(f_year="",TRUE,FALSE)</f>
        <v>1</v>
      </c>
      <c r="J48" s="1761" t="s">
        <v>1806</v>
      </c>
      <c r="K48" s="1762"/>
      <c r="AX48" s="1136" t="s">
        <v>1807</v>
      </c>
      <c r="AZ48" s="1136" t="s">
        <v>1526</v>
      </c>
      <c r="BE48" s="1136">
        <v>2046</v>
      </c>
      <c r="BH48" s="1084" t="s">
        <v>1778</v>
      </c>
      <c r="BJ48" s="1233" t="s">
        <v>1185</v>
      </c>
      <c r="BL48" s="1233" t="s">
        <v>1185</v>
      </c>
      <c r="BN48" s="1084" t="s">
        <v>1808</v>
      </c>
    </row>
    <row customHeight="1" ht="11.25">
      <c r="A49" s="1090" t="s">
        <v>16</v>
      </c>
      <c r="E49" s="423" t="s">
        <v>1809</v>
      </c>
      <c r="F49" s="1131" t="s">
        <v>1810</v>
      </c>
      <c r="G49" s="1132" t="str">
        <f>_xlfn.IFERROR(IF(f_year="","01.01."&amp;CURRENT_YEAR,"01.01."&amp;f_year),"01.01."&amp;CURRENT_YEAR)</f>
        <v>01.01.2025</v>
      </c>
      <c r="H49" s="1132" t="str">
        <f>_xlfn.IFERROR(IF(f_year="","31.12."&amp;CURRENT_YEAR,"31.12."&amp;f_year),"31.12."&amp;CURRENT_YEAR)</f>
        <v>31.12.2025</v>
      </c>
      <c r="I49" s="1758">
        <f>IF(f_year="",TRUE,FALSE)</f>
        <v>1</v>
      </c>
      <c r="J49" s="176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2"/>
      <c r="AX49" s="1136" t="s">
        <v>1811</v>
      </c>
      <c r="AZ49" s="1136" t="s">
        <v>1542</v>
      </c>
      <c r="BE49" s="1136">
        <v>2047</v>
      </c>
      <c r="BH49" s="1084" t="s">
        <v>1201</v>
      </c>
      <c r="BJ49" s="1233" t="s">
        <v>1187</v>
      </c>
      <c r="BL49" s="1233" t="s">
        <v>1187</v>
      </c>
    </row>
    <row customHeight="1" ht="11.25">
      <c r="A50" s="1090" t="s">
        <v>1812</v>
      </c>
      <c r="E50" s="423" t="s">
        <v>1813</v>
      </c>
      <c r="F50" s="1131" t="s">
        <v>1171</v>
      </c>
      <c r="G50" s="1132" t="str">
        <f>_xlfn.IFERROR(IF(f_year="","01.01."&amp;CURRENT_YEAR,"01.01."&amp;f_year),"01.01."&amp;CURRENT_YEAR)</f>
        <v>01.01.2025</v>
      </c>
      <c r="H50" s="1132" t="str">
        <f>_xlfn.IFERROR(IF(f_year="","31.12."&amp;CURRENT_YEAR,"31.12."&amp;f_year),"31.12."&amp;CURRENT_YEAR)</f>
        <v>31.12.2025</v>
      </c>
      <c r="I50" s="1758">
        <f>IF(f_year="",TRUE,FALSE)</f>
        <v>1</v>
      </c>
      <c r="J50" s="176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2"/>
      <c r="AX50" s="1136" t="s">
        <v>1814</v>
      </c>
      <c r="AZ50" s="1136" t="s">
        <v>1558</v>
      </c>
      <c r="BE50" s="1136">
        <v>2048</v>
      </c>
      <c r="BH50" s="1084" t="s">
        <v>1785</v>
      </c>
      <c r="BJ50" s="1233" t="s">
        <v>1189</v>
      </c>
      <c r="BL50" s="1233" t="s">
        <v>1189</v>
      </c>
    </row>
    <row customHeight="1" ht="11.25">
      <c r="A51" s="1090" t="s">
        <v>1815</v>
      </c>
      <c r="E51" s="423" t="s">
        <v>1816</v>
      </c>
      <c r="F51" s="1131" t="s">
        <v>1817</v>
      </c>
      <c r="G51" s="1132" t="str">
        <f>_xlfn.IFERROR(IF(TITLE_PERIOD_START="","01.01."&amp;CURRENT_YEAR,"01.01."&amp;YEAR(TITLE_PERIOD_START)),"01.01."&amp;CURRENT_YEAR)</f>
        <v>01.01.2025</v>
      </c>
      <c r="H51" s="1132" t="str">
        <f>_xlfn.IFERROR(IF(TITLE_PERIOD_END="","31.12."&amp;CURRENT_YEAR,"31.12."&amp;YEAR(TITLE_PERIOD_END)),"31.12."&amp;CURRENT_YEAR)</f>
        <v>31.12.2025</v>
      </c>
      <c r="I51" s="1759">
        <f>IF(OR(TITLE_PERIOD_START="",TITLE_PERIOD_END=""),TRUE,FALSE)</f>
        <v>0</v>
      </c>
      <c r="J51" s="176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2"/>
      <c r="AX51" s="1136" t="s">
        <v>1818</v>
      </c>
      <c r="AZ51" s="1136" t="s">
        <v>1574</v>
      </c>
      <c r="BE51" s="1136">
        <v>2049</v>
      </c>
      <c r="BH51" s="1084" t="s">
        <v>1794</v>
      </c>
      <c r="BJ51" s="1233" t="s">
        <v>1819</v>
      </c>
      <c r="BL51" s="1233" t="s">
        <v>1819</v>
      </c>
    </row>
    <row customHeight="1" ht="11.25">
      <c r="A52" s="1090" t="s">
        <v>1820</v>
      </c>
      <c r="E52" s="423" t="s">
        <v>1821</v>
      </c>
      <c r="F52" s="1131" t="s">
        <v>1788</v>
      </c>
      <c r="G52" s="1132" t="str">
        <f>_xlfn.IFERROR(IF(TITLE_PERIOD_START="","01.01."&amp;CURRENT_YEAR,"01.01."&amp;YEAR(TITLE_PERIOD_START)),"01.01."&amp;CURRENT_YEAR)</f>
        <v>01.01.2025</v>
      </c>
      <c r="H52" s="1132" t="str">
        <f>_xlfn.IFERROR(IF(TITLE_PERIOD_END="","31.12."&amp;CURRENT_YEAR,"31.12."&amp;YEAR(TITLE_PERIOD_END)),"31.12."&amp;CURRENT_YEAR)</f>
        <v>31.12.2025</v>
      </c>
      <c r="I52" s="1759">
        <f>IF(OR(TITLE_PERIOD_START="",TITLE_PERIOD_END=""),TRUE,FALSE)</f>
        <v>0</v>
      </c>
      <c r="J52" s="1761" t="str">
        <f>"Показатели, подлежащие раскрытию в сфере "&amp;TEMPLATE_SPHERE_RUS&amp;" (цены и тарифы)"</f>
        <v>Показатели, подлежащие раскрытию в сфере теплоснабжения (цены и тарифы)</v>
      </c>
      <c r="K52" s="1762"/>
      <c r="AX52" s="1136" t="s">
        <v>1822</v>
      </c>
      <c r="AZ52" s="1136" t="s">
        <v>1374</v>
      </c>
      <c r="BE52" s="1136">
        <v>2050</v>
      </c>
      <c r="BH52" s="1084" t="s">
        <v>1798</v>
      </c>
      <c r="BJ52" s="1233" t="s">
        <v>1200</v>
      </c>
      <c r="BL52" s="1233" t="s">
        <v>1200</v>
      </c>
    </row>
    <row customHeight="1" ht="11.25">
      <c r="A53" s="1090" t="s">
        <v>1823</v>
      </c>
      <c r="E53" s="423" t="s">
        <v>1824</v>
      </c>
      <c r="F53" s="1131" t="s">
        <v>1824</v>
      </c>
      <c r="G53" s="1132" t="str">
        <f>_xlfn.IFERROR(IF(f_year="","01.01."&amp;CURRENT_YEAR,"01.01."&amp;f_year),"01.01."&amp;CURRENT_YEAR)</f>
        <v>01.01.2025</v>
      </c>
      <c r="H53" s="1132" t="str">
        <f>_xlfn.IFERROR(IF(f_year="","31.12."&amp;CURRENT_YEAR,"31.12."&amp;f_year),"31.12."&amp;CURRENT_YEAR)</f>
        <v>31.12.2025</v>
      </c>
      <c r="I53" s="1758">
        <f>IF(AND(f_year="",TITLE_DATE_FIL=""),TRUE,FALSE)</f>
        <v>1</v>
      </c>
      <c r="J53" s="1761" t="s">
        <v>1825</v>
      </c>
      <c r="K53" s="1762"/>
      <c r="AX53" s="1136" t="s">
        <v>1826</v>
      </c>
      <c r="BE53" s="1136">
        <v>2051</v>
      </c>
      <c r="BH53" s="1084" t="s">
        <v>1802</v>
      </c>
      <c r="BJ53" s="1233" t="s">
        <v>1775</v>
      </c>
      <c r="BL53" s="1233" t="s">
        <v>1775</v>
      </c>
    </row>
    <row customHeight="1" ht="11.25">
      <c r="A54" s="1090" t="s">
        <v>1827</v>
      </c>
      <c r="AX54" s="1136" t="s">
        <v>124</v>
      </c>
      <c r="AZ54" s="1083" t="s">
        <v>1828</v>
      </c>
      <c r="BE54" s="1136">
        <v>2052</v>
      </c>
      <c r="BH54" s="1084" t="s">
        <v>1808</v>
      </c>
      <c r="BJ54" s="1233" t="s">
        <v>1778</v>
      </c>
      <c r="BL54" s="1233" t="s">
        <v>1778</v>
      </c>
    </row>
    <row customHeight="1" ht="11.25">
      <c r="A55" s="1090" t="s">
        <v>1829</v>
      </c>
      <c r="AX55" s="1136" t="s">
        <v>1830</v>
      </c>
      <c r="AZ55" s="1136" t="s">
        <v>1376</v>
      </c>
      <c r="BE55" s="1136">
        <v>2053</v>
      </c>
      <c r="BH55" s="1086" t="s">
        <v>28</v>
      </c>
      <c r="BJ55" s="1233" t="s">
        <v>1201</v>
      </c>
      <c r="BL55" s="1233" t="s">
        <v>1201</v>
      </c>
    </row>
    <row customHeight="1" ht="11.25">
      <c r="A56" s="1090" t="s">
        <v>1831</v>
      </c>
      <c r="D56" s="1134" t="s">
        <v>1832</v>
      </c>
      <c r="E56" s="1111" t="s">
        <v>1833</v>
      </c>
      <c r="F56" s="1090" t="s">
        <v>1834</v>
      </c>
      <c r="AX56" s="1136" t="s">
        <v>1835</v>
      </c>
      <c r="AZ56" s="1136" t="s">
        <v>1401</v>
      </c>
      <c r="BE56" s="1136">
        <v>2054</v>
      </c>
      <c r="BH56" s="1086" t="s">
        <v>28</v>
      </c>
      <c r="BJ56" s="1233" t="s">
        <v>1785</v>
      </c>
      <c r="BL56" s="1233" t="s">
        <v>1785</v>
      </c>
    </row>
    <row customHeight="1" ht="11.25">
      <c r="A57" s="1090" t="s">
        <v>1836</v>
      </c>
      <c r="D57" s="1134" t="s">
        <v>1837</v>
      </c>
      <c r="E57" s="1111" t="s">
        <v>122</v>
      </c>
      <c r="F57" s="1090" t="s">
        <v>1834</v>
      </c>
      <c r="AX57" s="1136" t="s">
        <v>164</v>
      </c>
      <c r="AZ57" s="1136" t="s">
        <v>632</v>
      </c>
      <c r="BE57" s="1136">
        <v>2055</v>
      </c>
      <c r="BJ57" s="1233" t="s">
        <v>1794</v>
      </c>
      <c r="BL57" s="1233" t="s">
        <v>1794</v>
      </c>
    </row>
    <row customHeight="1" ht="11.25">
      <c r="A58" s="1090" t="s">
        <v>1838</v>
      </c>
      <c r="D58" s="1134" t="s">
        <v>1839</v>
      </c>
      <c r="E58" s="1111" t="s">
        <v>122</v>
      </c>
      <c r="F58" s="1090" t="s">
        <v>1834</v>
      </c>
      <c r="AX58" s="1136" t="s">
        <v>169</v>
      </c>
      <c r="BE58" s="1136">
        <v>2056</v>
      </c>
      <c r="BJ58" s="1233" t="s">
        <v>1798</v>
      </c>
      <c r="BL58" s="1233" t="s">
        <v>1798</v>
      </c>
    </row>
    <row customHeight="1" ht="11.25">
      <c r="A59" s="1090" t="s">
        <v>1840</v>
      </c>
      <c r="D59" s="1134" t="s">
        <v>200</v>
      </c>
      <c r="E59" s="1111" t="s">
        <v>1733</v>
      </c>
      <c r="F59" s="1090" t="s">
        <v>1841</v>
      </c>
      <c r="AX59" s="1136" t="s">
        <v>1842</v>
      </c>
      <c r="AZ59" s="1083" t="s">
        <v>1843</v>
      </c>
      <c r="BE59" s="1136">
        <v>2057</v>
      </c>
      <c r="BJ59" s="1233" t="s">
        <v>1802</v>
      </c>
      <c r="BL59" s="1233" t="s">
        <v>1802</v>
      </c>
    </row>
    <row customHeight="1" ht="11.25">
      <c r="A60" s="1090" t="s">
        <v>1844</v>
      </c>
      <c r="D60" s="1134" t="s">
        <v>1845</v>
      </c>
      <c r="E60" s="1111" t="s">
        <v>1733</v>
      </c>
      <c r="F60" s="1090" t="s">
        <v>1841</v>
      </c>
      <c r="AX60" s="1136" t="s">
        <v>1846</v>
      </c>
      <c r="AZ60" s="1136" t="s">
        <v>633</v>
      </c>
      <c r="BE60" s="1136">
        <v>2058</v>
      </c>
      <c r="BJ60" s="1233" t="s">
        <v>1808</v>
      </c>
      <c r="BL60" s="1233" t="s">
        <v>1808</v>
      </c>
    </row>
    <row customHeight="1" ht="11.25">
      <c r="A61" s="1090" t="s">
        <v>1847</v>
      </c>
      <c r="D61" s="1134" t="s">
        <v>1848</v>
      </c>
      <c r="E61" s="1111" t="s">
        <v>1849</v>
      </c>
      <c r="F61" s="1090" t="s">
        <v>1841</v>
      </c>
      <c r="AX61" s="1136" t="s">
        <v>1850</v>
      </c>
      <c r="AZ61" s="1136" t="s">
        <v>1402</v>
      </c>
      <c r="BE61" s="1136">
        <v>2059</v>
      </c>
      <c r="BL61" s="1233" t="s">
        <v>1193</v>
      </c>
    </row>
    <row customHeight="1" ht="11.25">
      <c r="A62" s="1090" t="s">
        <v>1851</v>
      </c>
      <c r="D62" s="1134" t="s">
        <v>199</v>
      </c>
      <c r="E62" s="1111">
        <v>53</v>
      </c>
      <c r="F62" s="1090" t="s">
        <v>1841</v>
      </c>
      <c r="AZ62" s="1136" t="s">
        <v>1436</v>
      </c>
      <c r="BE62" s="1136">
        <v>2060</v>
      </c>
      <c r="BL62" s="1233" t="s">
        <v>1195</v>
      </c>
    </row>
    <row customHeight="1" ht="11.25">
      <c r="A63" s="1090" t="s">
        <v>1852</v>
      </c>
      <c r="D63" s="1134" t="s">
        <v>1853</v>
      </c>
      <c r="E63" s="1111">
        <v>54</v>
      </c>
      <c r="F63" s="1090" t="s">
        <v>1841</v>
      </c>
      <c r="AZ63" s="1136" t="s">
        <v>1468</v>
      </c>
      <c r="BE63" s="1136">
        <v>2061</v>
      </c>
    </row>
    <row customHeight="1" ht="11.25">
      <c r="A64" s="1090" t="s">
        <v>1854</v>
      </c>
      <c r="D64" s="1134" t="s">
        <v>1855</v>
      </c>
      <c r="E64" s="1111">
        <v>54</v>
      </c>
      <c r="F64" s="1090" t="s">
        <v>1841</v>
      </c>
      <c r="AZ64" s="1136" t="s">
        <v>1491</v>
      </c>
      <c r="BE64" s="1136">
        <v>2062</v>
      </c>
    </row>
    <row customHeight="1" ht="11.25">
      <c r="A65" s="1090" t="s">
        <v>1856</v>
      </c>
      <c r="D65" s="1090"/>
      <c r="BE65" s="1136">
        <v>2063</v>
      </c>
    </row>
    <row customHeight="1" ht="11.25">
      <c r="A66" s="1090" t="s">
        <v>1857</v>
      </c>
      <c r="AZ66" s="1083" t="s">
        <v>1858</v>
      </c>
      <c r="BE66" s="1136">
        <v>2064</v>
      </c>
    </row>
    <row customHeight="1" ht="11.25">
      <c r="A67" s="1090" t="s">
        <v>1859</v>
      </c>
      <c r="AZ67" s="1136" t="s">
        <v>1377</v>
      </c>
      <c r="BE67" s="1136">
        <v>2065</v>
      </c>
    </row>
    <row customHeight="1" ht="11.25">
      <c r="A68" s="1090" t="s">
        <v>1860</v>
      </c>
      <c r="AZ68" s="1136" t="s">
        <v>1403</v>
      </c>
      <c r="BE68" s="1136">
        <v>2066</v>
      </c>
      <c r="BH68" s="1083" t="s">
        <v>1861</v>
      </c>
      <c r="BJ68" s="1083" t="s">
        <v>1862</v>
      </c>
      <c r="BL68" s="1083" t="s">
        <v>1863</v>
      </c>
      <c r="BN68" s="1083" t="s">
        <v>1864</v>
      </c>
    </row>
    <row customHeight="1" ht="11.25">
      <c r="A69" s="1090" t="s">
        <v>1865</v>
      </c>
      <c r="AZ69" s="1136" t="s">
        <v>1437</v>
      </c>
      <c r="BE69" s="1136">
        <v>2067</v>
      </c>
      <c r="BH69" s="1084" t="s">
        <v>1866</v>
      </c>
      <c r="BI69" s="1133" t="s">
        <v>141</v>
      </c>
      <c r="BJ69" s="1084" t="s">
        <v>1867</v>
      </c>
      <c r="BK69" s="1133" t="s">
        <v>141</v>
      </c>
      <c r="BL69" s="1084" t="s">
        <v>1868</v>
      </c>
      <c r="BM69" s="1086" t="s">
        <v>141</v>
      </c>
      <c r="BN69" s="1084" t="s">
        <v>1869</v>
      </c>
    </row>
    <row customHeight="1" ht="11.25">
      <c r="A70" s="1090" t="s">
        <v>1870</v>
      </c>
      <c r="AZ70" s="1136" t="s">
        <v>1469</v>
      </c>
      <c r="BE70" s="1136">
        <v>2068</v>
      </c>
      <c r="BH70" s="1084" t="s">
        <v>1871</v>
      </c>
      <c r="BJ70" s="1084" t="s">
        <v>1872</v>
      </c>
      <c r="BL70" s="1084" t="s">
        <v>1873</v>
      </c>
      <c r="BN70" s="1084" t="s">
        <v>1874</v>
      </c>
    </row>
    <row customHeight="1" ht="11.25">
      <c r="A71" s="1090" t="s">
        <v>1875</v>
      </c>
      <c r="AZ71" s="1136" t="s">
        <v>1471</v>
      </c>
      <c r="BE71" s="1136">
        <v>2069</v>
      </c>
      <c r="BH71" s="1084" t="s">
        <v>1876</v>
      </c>
      <c r="BI71" s="1133" t="s">
        <v>93</v>
      </c>
      <c r="BJ71" s="1084" t="s">
        <v>1877</v>
      </c>
      <c r="BK71" s="1133" t="s">
        <v>93</v>
      </c>
      <c r="BL71" s="1084" t="s">
        <v>1878</v>
      </c>
      <c r="BM71" s="1086" t="s">
        <v>93</v>
      </c>
      <c r="BN71" s="1084" t="s">
        <v>1879</v>
      </c>
    </row>
    <row customHeight="1" ht="11.25">
      <c r="A72" s="1090" t="s">
        <v>1880</v>
      </c>
      <c r="AZ72" s="1136" t="s">
        <v>19</v>
      </c>
      <c r="BE72" s="1136">
        <v>2070</v>
      </c>
      <c r="BH72" s="1084" t="s">
        <v>1881</v>
      </c>
      <c r="BJ72" s="1084" t="s">
        <v>1881</v>
      </c>
      <c r="BL72" s="1084" t="s">
        <v>1881</v>
      </c>
      <c r="BN72" s="1084" t="s">
        <v>1882</v>
      </c>
    </row>
    <row customHeight="1" ht="11.25">
      <c r="A73" s="1090" t="s">
        <v>1883</v>
      </c>
      <c r="BH73" s="1084" t="s">
        <v>1884</v>
      </c>
      <c r="BI73" s="1133" t="s">
        <v>122</v>
      </c>
      <c r="BJ73" s="1084" t="s">
        <v>1885</v>
      </c>
      <c r="BK73" s="1133" t="s">
        <v>122</v>
      </c>
      <c r="BL73" s="1084" t="s">
        <v>1886</v>
      </c>
      <c r="BM73" s="1086" t="s">
        <v>122</v>
      </c>
      <c r="BN73" s="1084" t="s">
        <v>1887</v>
      </c>
    </row>
    <row customHeight="1" ht="11.25">
      <c r="A74" s="1090" t="s">
        <v>1888</v>
      </c>
      <c r="BH74" s="1084" t="s">
        <v>1889</v>
      </c>
      <c r="BJ74" s="1084" t="s">
        <v>1890</v>
      </c>
      <c r="BL74" s="1084" t="s">
        <v>1891</v>
      </c>
      <c r="BN74" s="1084" t="s">
        <v>1892</v>
      </c>
    </row>
    <row customHeight="1" ht="11.25">
      <c r="A75" s="1090" t="s">
        <v>1893</v>
      </c>
      <c r="AZ75" s="1083" t="s">
        <v>1894</v>
      </c>
      <c r="BH75" s="1084" t="s">
        <v>1895</v>
      </c>
      <c r="BJ75" s="1084" t="s">
        <v>1895</v>
      </c>
      <c r="BL75" s="1084" t="s">
        <v>1895</v>
      </c>
    </row>
    <row customHeight="1" ht="11.25">
      <c r="A76" s="1090" t="s">
        <v>1896</v>
      </c>
      <c r="AZ76" s="1136" t="s">
        <v>1386</v>
      </c>
      <c r="BH76" s="1084" t="s">
        <v>1897</v>
      </c>
      <c r="BJ76" s="1084" t="s">
        <v>1898</v>
      </c>
      <c r="BL76" s="1084" t="s">
        <v>1899</v>
      </c>
    </row>
    <row customHeight="1" ht="11.25">
      <c r="A77" s="1090" t="s">
        <v>1900</v>
      </c>
      <c r="AZ77" s="1136" t="s">
        <v>1413</v>
      </c>
    </row>
    <row customHeight="1" ht="11.25">
      <c r="A78" s="1090" t="s">
        <v>1901</v>
      </c>
      <c r="AZ78" s="1136" t="s">
        <v>1444</v>
      </c>
    </row>
    <row customHeight="1" ht="11.25">
      <c r="A79" s="1090" t="s">
        <v>1902</v>
      </c>
      <c r="AZ79" s="1136" t="s">
        <v>1475</v>
      </c>
      <c r="BH79" s="1083" t="s">
        <v>1903</v>
      </c>
      <c r="BJ79" s="1083" t="s">
        <v>1904</v>
      </c>
      <c r="BL79" s="1083" t="s">
        <v>1905</v>
      </c>
    </row>
    <row customHeight="1" ht="11.25">
      <c r="A80" s="1090" t="s">
        <v>1906</v>
      </c>
      <c r="AZ80" s="1136" t="s">
        <v>1496</v>
      </c>
      <c r="BH80" s="1084" t="s">
        <v>1907</v>
      </c>
      <c r="BJ80" s="1084" t="s">
        <v>1908</v>
      </c>
      <c r="BL80" s="1084" t="s">
        <v>1909</v>
      </c>
    </row>
    <row customHeight="1" ht="11.25">
      <c r="A81" s="1090" t="s">
        <v>1910</v>
      </c>
      <c r="AZ81" s="1136" t="s">
        <v>1513</v>
      </c>
      <c r="BH81" s="1084" t="s">
        <v>1911</v>
      </c>
      <c r="BJ81" s="1084" t="s">
        <v>1912</v>
      </c>
      <c r="BL81" s="1084" t="s">
        <v>1913</v>
      </c>
    </row>
    <row customHeight="1" ht="11.25">
      <c r="A82" s="1090" t="s">
        <v>1914</v>
      </c>
      <c r="AZ82" s="1136" t="s">
        <v>1528</v>
      </c>
      <c r="BH82" s="1084" t="s">
        <v>1915</v>
      </c>
      <c r="BJ82" s="1084" t="s">
        <v>1916</v>
      </c>
      <c r="BL82" s="1084" t="s">
        <v>1917</v>
      </c>
    </row>
    <row customHeight="1" ht="11.25">
      <c r="A83" s="1090" t="s">
        <v>1918</v>
      </c>
      <c r="BH83" s="1084" t="s">
        <v>1919</v>
      </c>
      <c r="BJ83" s="1084" t="s">
        <v>1920</v>
      </c>
      <c r="BL83" s="1084" t="s">
        <v>1921</v>
      </c>
    </row>
    <row customHeight="1" ht="11.25">
      <c r="A84" s="1090" t="s">
        <v>1922</v>
      </c>
      <c r="AZ84" s="1083" t="s">
        <v>1923</v>
      </c>
    </row>
    <row customHeight="1" ht="11.25">
      <c r="A85" s="1886" t="s">
        <v>1924</v>
      </c>
      <c r="AZ85" s="1136" t="s">
        <v>1925</v>
      </c>
    </row>
    <row customHeight="1" ht="11.25">
      <c r="A86" s="1090" t="s">
        <v>1926</v>
      </c>
      <c r="AZ86" s="1136" t="s">
        <v>1927</v>
      </c>
      <c r="BH86" s="1083" t="s">
        <v>1928</v>
      </c>
      <c r="BJ86" s="1083" t="s">
        <v>1929</v>
      </c>
      <c r="BL86" s="1083" t="s">
        <v>1930</v>
      </c>
    </row>
    <row customHeight="1" ht="11.25">
      <c r="A87" s="1090" t="s">
        <v>1931</v>
      </c>
      <c r="AZ87" s="1136" t="s">
        <v>1932</v>
      </c>
      <c r="BH87" s="1084" t="s">
        <v>1933</v>
      </c>
      <c r="BJ87" s="1084" t="s">
        <v>1934</v>
      </c>
      <c r="BL87" s="1084" t="s">
        <v>1935</v>
      </c>
    </row>
    <row customHeight="1" ht="11.25">
      <c r="A88" s="1090" t="s">
        <v>1936</v>
      </c>
      <c r="AZ88" s="1622"/>
      <c r="BH88" s="1084" t="s">
        <v>1937</v>
      </c>
      <c r="BJ88" s="1084" t="s">
        <v>1938</v>
      </c>
      <c r="BL88" s="1084" t="s">
        <v>1939</v>
      </c>
    </row>
    <row customHeight="1" ht="11.25">
      <c r="A89" s="1090" t="s">
        <v>1940</v>
      </c>
      <c r="AZ89" s="1083" t="s">
        <v>1941</v>
      </c>
    </row>
    <row customHeight="1" ht="11.25">
      <c r="A90" s="1090" t="s">
        <v>1942</v>
      </c>
      <c r="AZ90" s="1136" t="s">
        <v>1171</v>
      </c>
    </row>
    <row customHeight="1" ht="11.25">
      <c r="A91" s="1090" t="s">
        <v>1943</v>
      </c>
      <c r="AZ91" s="1136" t="s">
        <v>1207</v>
      </c>
      <c r="BH91" s="1083" t="s">
        <v>1944</v>
      </c>
      <c r="BJ91" s="1083" t="s">
        <v>1945</v>
      </c>
      <c r="BL91" s="1083" t="s">
        <v>1946</v>
      </c>
    </row>
    <row customHeight="1" ht="11.25">
      <c r="AZ92" s="1136" t="s">
        <v>1947</v>
      </c>
      <c r="BH92" s="1084" t="s">
        <v>1948</v>
      </c>
      <c r="BJ92" s="1084" t="s">
        <v>1949</v>
      </c>
      <c r="BL92" s="1084" t="s">
        <v>1950</v>
      </c>
    </row>
    <row customHeight="1" ht="11.25">
      <c r="AZ93" s="1136" t="s">
        <v>1951</v>
      </c>
      <c r="BH93" s="1084" t="s">
        <v>1952</v>
      </c>
      <c r="BJ93" s="1084" t="s">
        <v>1953</v>
      </c>
      <c r="BL93" s="1084" t="s">
        <v>1954</v>
      </c>
    </row>
    <row customHeight="1" ht="11.25">
      <c r="AZ94" s="1136" t="s">
        <v>1955</v>
      </c>
    </row>
    <row r="96" customHeight="1" ht="11.25">
      <c r="AZ96" s="1083" t="s">
        <v>1956</v>
      </c>
      <c r="BH96" s="1083" t="s">
        <v>1957</v>
      </c>
      <c r="BJ96" s="1083" t="s">
        <v>1958</v>
      </c>
      <c r="BL96" s="1083" t="s">
        <v>1959</v>
      </c>
      <c r="BN96" s="1083" t="s">
        <v>1960</v>
      </c>
    </row>
    <row customHeight="1" ht="11.25">
      <c r="AZ97" s="1917" t="s">
        <v>1961</v>
      </c>
      <c r="BA97" s="1918" t="s">
        <v>1962</v>
      </c>
      <c r="BH97" s="1084" t="s">
        <v>1963</v>
      </c>
      <c r="BJ97" s="1084" t="s">
        <v>1964</v>
      </c>
      <c r="BL97" s="1084" t="s">
        <v>1965</v>
      </c>
      <c r="BN97" s="1084" t="s">
        <v>1966</v>
      </c>
    </row>
    <row customHeight="1" ht="11.25">
      <c r="AZ98" s="1917" t="s">
        <v>1967</v>
      </c>
      <c r="BA98" s="1918" t="s">
        <v>1968</v>
      </c>
      <c r="BH98" s="1084" t="s">
        <v>1969</v>
      </c>
      <c r="BJ98" s="1084" t="s">
        <v>1970</v>
      </c>
      <c r="BL98" s="1084" t="s">
        <v>1971</v>
      </c>
      <c r="BN98" s="1084" t="s">
        <v>1972</v>
      </c>
    </row>
    <row customHeight="1" ht="22.5">
      <c r="AZ99" s="1917" t="s">
        <v>1973</v>
      </c>
      <c r="BA99" s="19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4" t="s">
        <v>1974</v>
      </c>
      <c r="BJ99" s="1084" t="s">
        <v>1975</v>
      </c>
      <c r="BL99" s="1084" t="s">
        <v>1976</v>
      </c>
      <c r="BN99" s="1084" t="s">
        <v>1977</v>
      </c>
    </row>
    <row customHeight="1" ht="22.5">
      <c r="AZ100" s="1917" t="s">
        <v>1978</v>
      </c>
      <c r="BA100" s="19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4" t="s">
        <v>1574</v>
      </c>
      <c r="BL100" s="1084" t="s">
        <v>1574</v>
      </c>
      <c r="BN100" s="1084" t="s">
        <v>1979</v>
      </c>
    </row>
    <row customHeight="1" ht="22.5">
      <c r="AZ101" s="1917" t="s">
        <v>1980</v>
      </c>
      <c r="BA101" s="1918" t="s">
        <v>1981</v>
      </c>
      <c r="BN101" s="1084" t="s">
        <v>1982</v>
      </c>
    </row>
    <row customHeight="1" ht="22.5">
      <c r="AZ102" s="1917" t="s">
        <v>1983</v>
      </c>
      <c r="BA102" s="19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4" t="s">
        <v>1984</v>
      </c>
    </row>
    <row customHeight="1" ht="11.25">
      <c r="AZ103" s="1917" t="s">
        <v>1985</v>
      </c>
      <c r="BA103" s="1918" t="s">
        <v>1986</v>
      </c>
      <c r="BN103" s="1084" t="s">
        <v>1987</v>
      </c>
    </row>
    <row customHeight="1" ht="11.25">
      <c r="BN104" s="1084" t="s">
        <v>1988</v>
      </c>
    </row>
    <row customHeight="1" ht="11.25">
      <c r="AZ105" s="1708" t="s">
        <v>1989</v>
      </c>
    </row>
    <row customHeight="1" ht="11.25">
      <c r="AZ106" s="1136" t="s">
        <v>627</v>
      </c>
    </row>
    <row customHeight="1" ht="11.25">
      <c r="AZ107" s="1136" t="s">
        <v>1990</v>
      </c>
      <c r="BH107" s="1083" t="s">
        <v>1991</v>
      </c>
      <c r="BJ107" s="1083" t="s">
        <v>1992</v>
      </c>
      <c r="BL107" s="1083" t="s">
        <v>1993</v>
      </c>
      <c r="BN107" s="1083" t="s">
        <v>1994</v>
      </c>
    </row>
    <row customHeight="1" ht="11.25">
      <c r="AZ108" s="1136" t="s">
        <v>724</v>
      </c>
      <c r="BH108" s="1084" t="s">
        <v>1995</v>
      </c>
      <c r="BJ108" s="1084" t="s">
        <v>1996</v>
      </c>
      <c r="BL108" s="1084" t="s">
        <v>1657</v>
      </c>
      <c r="BN108" s="1084" t="s">
        <v>1997</v>
      </c>
    </row>
    <row customHeight="1" ht="11.25">
      <c r="BH109" s="1084" t="s">
        <v>1998</v>
      </c>
    </row>
    <row customHeight="1" ht="11.25">
      <c r="AZ110" s="1708" t="s">
        <v>1999</v>
      </c>
      <c r="BH110" s="1084" t="s">
        <v>1998</v>
      </c>
    </row>
    <row customHeight="1" ht="11.25">
      <c r="AZ111" s="1917" t="s">
        <v>1961</v>
      </c>
      <c r="BA111" s="1918" t="s">
        <v>1962</v>
      </c>
    </row>
    <row customHeight="1" ht="11.25">
      <c r="AZ112" s="1917" t="s">
        <v>1967</v>
      </c>
      <c r="BA112" s="1918" t="s">
        <v>1968</v>
      </c>
    </row>
    <row customHeight="1" ht="22.5">
      <c r="AZ113" s="1917" t="s">
        <v>1973</v>
      </c>
      <c r="BA113" s="191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7" t="s">
        <v>1978</v>
      </c>
      <c r="BA114" s="19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3" t="s">
        <v>2000</v>
      </c>
    </row>
    <row customHeight="1" ht="22.5">
      <c r="AZ115" s="1917" t="s">
        <v>1983</v>
      </c>
      <c r="BA115" s="19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4" t="s">
        <v>1374</v>
      </c>
    </row>
    <row customHeight="1" ht="11.25">
      <c r="AZ116" s="1917" t="s">
        <v>1985</v>
      </c>
      <c r="BA116" s="1918" t="s">
        <v>1986</v>
      </c>
      <c r="BH116" s="1084" t="s">
        <v>1399</v>
      </c>
    </row>
    <row customHeight="1" ht="11.25">
      <c r="BH117" s="1084" t="s">
        <v>1434</v>
      </c>
    </row>
    <row customHeight="1" ht="11.25">
      <c r="BH118" s="1084" t="s">
        <v>1466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D2251-D624-89D9-04DD-.9C08B222E1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7" width="15.00390625" hidden="1" customWidth="1"/>
    <col min="3" max="3" style="471" width="3.00390625" customWidth="1"/>
    <col min="4" max="4" style="472" width="6.00390625" customWidth="1"/>
    <col min="5" max="5" style="471" width="52.00390625" customWidth="1"/>
    <col min="6" max="6" style="471" width="48.00390625" customWidth="1"/>
    <col min="7" max="7" style="471" width="93.00390625" customWidth="1"/>
    <col min="8" max="8" style="471" width="8.00390625" customWidth="1"/>
    <col min="9" max="9" style="471" width="64.00390625" customWidth="1"/>
    <col min="10" max="10" style="471" width="9.140625" hidden="1"/>
  </cols>
  <sheetData>
    <row customHeight="1" ht="11.25" hidden="1">
      <c r="A1" s="517" t="s">
        <v>452</v>
      </c>
      <c r="J1" s="471" t="s">
        <v>14</v>
      </c>
    </row>
    <row customHeight="1" ht="22.5" hidden="1">
      <c r="A2" s="518"/>
      <c r="B2" s="518"/>
      <c r="C2" s="1746" t="s">
        <v>108</v>
      </c>
      <c r="D2" s="1536"/>
      <c r="E2" s="1542"/>
      <c r="F2" s="1565"/>
      <c r="H2" s="491"/>
      <c r="J2" s="471">
        <v>0</v>
      </c>
    </row>
    <row customHeight="1" ht="11.25" hidden="1">
      <c r="J3" s="471">
        <v>0</v>
      </c>
    </row>
    <row customHeight="1" ht="11.549999999999999">
      <c r="A4" s="1566"/>
      <c r="B4" s="1566"/>
      <c r="J4" s="471">
        <v>11</v>
      </c>
    </row>
    <row customHeight="1" ht="27.299999999999997">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5"/>
      <c r="F5" s="2256"/>
      <c r="I5" s="731"/>
      <c r="J5" s="471">
        <v>26</v>
      </c>
    </row>
    <row customHeight="1" ht="18">
      <c r="D6" s="2192" t="str">
        <f>IF(region_name=0,"Не определено",region_name)</f>
        <v>Приморский край</v>
      </c>
      <c r="E6" s="2192"/>
      <c r="F6" s="2192"/>
      <c r="I6" s="731"/>
      <c r="J6" s="471">
        <v>17</v>
      </c>
    </row>
    <row s="493" customFormat="1" customHeight="1" ht="11.549999999999999">
      <c r="A7" s="517"/>
      <c r="B7" s="517"/>
      <c r="D7" s="730"/>
      <c r="E7" s="730"/>
      <c r="F7" s="768"/>
      <c r="G7" s="730"/>
      <c r="J7" s="493">
        <v>11</v>
      </c>
    </row>
    <row customHeight="1" ht="11.25" hidden="1">
      <c r="A8" s="518"/>
      <c r="B8" s="518"/>
      <c r="C8" s="473"/>
      <c r="D8" s="479"/>
      <c r="E8" s="2223"/>
      <c r="F8" s="2223"/>
      <c r="J8" s="471">
        <v>0</v>
      </c>
    </row>
    <row customHeight="1" ht="11.549999999999999">
      <c r="A9" s="518"/>
      <c r="B9" s="518"/>
      <c r="C9" s="473"/>
      <c r="D9" s="2220" t="s">
        <v>453</v>
      </c>
      <c r="E9" s="2221"/>
      <c r="F9" s="2221"/>
      <c r="G9" s="2224" t="s">
        <v>454</v>
      </c>
      <c r="J9" s="471">
        <v>11</v>
      </c>
    </row>
    <row customHeight="1" ht="11.549999999999999">
      <c r="A10" s="518"/>
      <c r="B10" s="518"/>
      <c r="C10" s="473"/>
      <c r="D10" s="1490" t="s">
        <v>91</v>
      </c>
      <c r="E10" s="1492" t="s">
        <v>455</v>
      </c>
      <c r="F10" s="1492" t="s">
        <v>456</v>
      </c>
      <c r="G10" s="2225"/>
      <c r="J10" s="471">
        <v>11</v>
      </c>
    </row>
    <row customHeight="1" ht="1.05">
      <c r="A11" s="518"/>
      <c r="B11" s="518"/>
      <c r="C11" s="473"/>
      <c r="D11" s="480"/>
      <c r="E11" s="480"/>
      <c r="F11" s="480"/>
      <c r="G11" s="480"/>
      <c r="J11" s="471">
        <v>1</v>
      </c>
    </row>
    <row customHeight="1" ht="24">
      <c r="A12" s="518"/>
      <c r="B12" s="518"/>
      <c r="C12" s="473"/>
      <c r="D12" s="1536">
        <v>1</v>
      </c>
      <c r="E12" s="49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4" t="str">
        <f>IF(org="","",org)</f>
        <v>КГУП "Примтеплоэнерго"</v>
      </c>
      <c r="G12" s="49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9"/>
      <c r="J12" s="471">
        <v>23</v>
      </c>
    </row>
    <row customHeight="1" ht="19.95">
      <c r="A13" s="518"/>
      <c r="B13" s="518"/>
      <c r="C13" s="473"/>
      <c r="D13" s="1536">
        <v>2</v>
      </c>
      <c r="E13" s="1543" t="s">
        <v>2001</v>
      </c>
      <c r="F13" s="1537" t="s">
        <v>459</v>
      </c>
      <c r="G13" s="490"/>
      <c r="H13" s="1549"/>
      <c r="J13" s="471">
        <v>19</v>
      </c>
    </row>
    <row customHeight="1" ht="19.95">
      <c r="A14" s="518"/>
      <c r="B14" s="518"/>
      <c r="C14" s="473"/>
      <c r="D14" s="1539" t="s">
        <v>861</v>
      </c>
      <c r="E14" s="1540" t="s">
        <v>2002</v>
      </c>
      <c r="F14" s="1542"/>
      <c r="G14" s="1541" t="s">
        <v>2003</v>
      </c>
      <c r="H14" s="1549"/>
      <c r="J14" s="471">
        <v>19</v>
      </c>
    </row>
    <row customHeight="1" ht="19.95">
      <c r="A15" s="518"/>
      <c r="B15" s="518"/>
      <c r="C15" s="473"/>
      <c r="D15" s="1539" t="s">
        <v>460</v>
      </c>
      <c r="E15" s="1540" t="s">
        <v>2004</v>
      </c>
      <c r="F15" s="1542"/>
      <c r="G15" s="1541" t="s">
        <v>2005</v>
      </c>
      <c r="H15" s="1549"/>
      <c r="J15" s="471">
        <v>19</v>
      </c>
    </row>
    <row customHeight="1" ht="24">
      <c r="A16" s="518"/>
      <c r="B16" s="518"/>
      <c r="C16" s="473"/>
      <c r="D16" s="1539" t="s">
        <v>463</v>
      </c>
      <c r="E16" s="1538" t="s">
        <v>2006</v>
      </c>
      <c r="F16" s="1547"/>
      <c r="G16" s="490" t="s">
        <v>2007</v>
      </c>
      <c r="H16" s="1549"/>
      <c r="J16" s="471">
        <v>23</v>
      </c>
    </row>
    <row customHeight="1" ht="48.29999999999999">
      <c r="A17" s="518"/>
      <c r="B17" s="518"/>
      <c r="C17" s="473"/>
      <c r="D17" s="1536">
        <v>3</v>
      </c>
      <c r="E17" s="1543" t="s">
        <v>2008</v>
      </c>
      <c r="F17" s="1542"/>
      <c r="G17" s="490" t="s">
        <v>2009</v>
      </c>
      <c r="H17" s="1549"/>
      <c r="J17" s="471">
        <v>46</v>
      </c>
    </row>
    <row customHeight="1" ht="48.29999999999999">
      <c r="A18" s="1491">
        <v>1</v>
      </c>
      <c r="B18" s="518"/>
      <c r="C18" s="1493"/>
      <c r="D18" s="1536" t="s">
        <v>94</v>
      </c>
      <c r="E18" s="1543" t="s">
        <v>2010</v>
      </c>
      <c r="F18" s="1542"/>
      <c r="G18" s="490" t="s">
        <v>2009</v>
      </c>
      <c r="H18" s="1549"/>
      <c r="I18" s="868"/>
      <c r="J18" s="471">
        <v>46</v>
      </c>
    </row>
    <row customHeight="1" ht="23.25">
      <c r="A19" s="518"/>
      <c r="B19" s="518"/>
      <c r="C19" s="473"/>
      <c r="D19" s="1536" t="s">
        <v>122</v>
      </c>
      <c r="E19" s="1543" t="s">
        <v>2011</v>
      </c>
      <c r="F19" s="1537" t="s">
        <v>459</v>
      </c>
      <c r="G19" s="2487" t="s">
        <v>2012</v>
      </c>
      <c r="H19" s="491"/>
      <c r="J19" s="471">
        <v>22</v>
      </c>
    </row>
    <row s="1546" customFormat="1" customHeight="1" ht="5.25" hidden="1">
      <c r="A20" s="518"/>
      <c r="B20" s="518"/>
      <c r="C20" s="1545"/>
      <c r="D20" s="1544" t="s">
        <v>1268</v>
      </c>
      <c r="E20" s="1030"/>
      <c r="F20" s="1029"/>
      <c r="G20" s="2488"/>
      <c r="J20" s="1546">
        <v>0</v>
      </c>
    </row>
    <row customHeight="1" ht="15.75">
      <c r="A21" s="518"/>
      <c r="B21" s="518"/>
      <c r="C21" s="473"/>
      <c r="D21" s="483"/>
      <c r="E21" s="431" t="s">
        <v>492</v>
      </c>
      <c r="F21" s="485"/>
      <c r="G21" s="2489"/>
      <c r="H21" s="1549"/>
      <c r="J21" s="471">
        <v>15</v>
      </c>
    </row>
    <row s="517" customFormat="1" customHeight="1" ht="26.25">
      <c r="A22" s="518"/>
      <c r="B22" s="518"/>
      <c r="C22" s="518"/>
      <c r="D22" s="1536" t="s">
        <v>95</v>
      </c>
      <c r="E22" s="490" t="s">
        <v>2013</v>
      </c>
      <c r="F22" s="1542"/>
      <c r="G22" s="490" t="s">
        <v>2014</v>
      </c>
      <c r="H22" s="1548"/>
      <c r="J22" s="517">
        <v>25</v>
      </c>
    </row>
    <row s="517" customFormat="1" customHeight="1" ht="19.95">
      <c r="A23" s="518"/>
      <c r="B23" s="518"/>
      <c r="C23" s="518"/>
      <c r="D23" s="1536" t="s">
        <v>96</v>
      </c>
      <c r="E23" s="1543" t="s">
        <v>2015</v>
      </c>
      <c r="F23" s="1547"/>
      <c r="G23" s="490" t="s">
        <v>2016</v>
      </c>
      <c r="H23" s="1548"/>
      <c r="J23" s="517">
        <v>19</v>
      </c>
    </row>
    <row s="517" customFormat="1" customHeight="1" ht="144" hidden="1">
      <c r="A24" s="518"/>
      <c r="B24" s="518"/>
      <c r="C24" s="518"/>
      <c r="D24" s="1536" t="s">
        <v>134</v>
      </c>
      <c r="E24" s="19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4"/>
      <c r="G24" s="19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8"/>
      <c r="J24" s="517">
        <v>0</v>
      </c>
    </row>
    <row customHeight="1" ht="11.25" hidden="1">
      <c r="A25" s="517" t="s">
        <v>85</v>
      </c>
      <c r="B25" s="517">
        <v>0</v>
      </c>
      <c r="C25" s="471">
        <v>3</v>
      </c>
      <c r="D25" s="472">
        <v>6</v>
      </c>
      <c r="E25" s="471">
        <v>52</v>
      </c>
      <c r="F25" s="471">
        <v>48</v>
      </c>
      <c r="G25" s="471">
        <v>93</v>
      </c>
      <c r="H25" s="471">
        <v>8</v>
      </c>
      <c r="I25" s="471">
        <v>64</v>
      </c>
      <c r="J25" s="47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D7354-AD9F-DF27-72A6-C8E1653746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51" width="9.140625" hidden="1"/>
    <col min="2" max="2" style="1382" width="9.140625" hidden="1"/>
    <col min="3" max="3" style="1651" width="3.7109375" hidden="1" customWidth="1"/>
    <col min="4" max="4" style="1858" width="3.00390625" customWidth="1"/>
    <col min="5" max="5" style="1651" width="6.00390625" customWidth="1"/>
    <col min="6" max="6" style="1651" width="46.00390625" customWidth="1"/>
    <col min="7" max="8" style="1651" width="16.00390625" customWidth="1"/>
    <col min="9" max="9" style="1651" width="35.00390625" customWidth="1"/>
    <col min="10" max="10" style="1651" width="89.00390625" customWidth="1"/>
    <col min="11" max="11" style="1640" width="3.00390625" customWidth="1"/>
    <col min="12" max="14" style="1640" width="8.00390625" customWidth="1"/>
    <col min="15" max="15" style="1640" width="25.00390625" customWidth="1"/>
    <col min="16" max="16" style="1640" width="14.00390625" customWidth="1"/>
    <col min="17" max="20" style="241" width="8.00390625" customWidth="1"/>
    <col min="21" max="254" style="1651" width="8.00390625" customWidth="1"/>
    <col min="255" max="255" style="1651" width="9.140625" hidden="1"/>
  </cols>
  <sheetData>
    <row customHeight="1" ht="22.5" hidden="1">
      <c r="F1" s="1647" t="s">
        <v>2017</v>
      </c>
      <c r="G1" s="1647" t="s">
        <v>51</v>
      </c>
      <c r="H1" s="1647" t="s">
        <v>53</v>
      </c>
      <c r="IU1" s="1171" t="s">
        <v>14</v>
      </c>
    </row>
    <row s="1866" customFormat="1" customHeight="1" ht="22.5" hidden="1">
      <c r="A2" s="847"/>
      <c r="B2" s="1176">
        <v>1</v>
      </c>
      <c r="C2" s="1176"/>
      <c r="D2" s="1944" t="s">
        <v>108</v>
      </c>
      <c r="E2" s="1500"/>
      <c r="F2" s="1507"/>
      <c r="G2" s="1507"/>
      <c r="H2" s="1507"/>
      <c r="I2" s="2000"/>
      <c r="J2" s="2001"/>
      <c r="K2" s="1551"/>
      <c r="L2" s="527"/>
      <c r="M2" s="527"/>
      <c r="N2" s="516" t="str">
        <f t="array" ref="N2:N2">IF(ISERROR(MATCH(MID(O2,1,250),MID(note_ter,1,250),0)),"n","y")</f>
        <v>n</v>
      </c>
      <c r="O2" s="527"/>
      <c r="P2" s="516" t="str">
        <f>G2&amp;"("&amp;J2&amp;")"</f>
        <v>()</v>
      </c>
      <c r="Q2" s="1176"/>
      <c r="R2" s="1176"/>
      <c r="S2" s="436"/>
      <c r="T2" s="1176"/>
      <c r="U2" s="1176"/>
      <c r="V2" s="1176"/>
      <c r="W2" s="438"/>
      <c r="X2" s="438"/>
      <c r="Y2" s="435"/>
      <c r="Z2" s="435"/>
      <c r="AA2" s="435"/>
      <c r="AB2" s="435"/>
      <c r="AC2" s="435"/>
      <c r="AD2" s="435"/>
      <c r="AE2" s="435"/>
      <c r="AF2" s="435"/>
      <c r="AG2" s="435"/>
      <c r="AH2" s="435"/>
      <c r="AI2" s="435"/>
      <c r="AJ2" s="435"/>
      <c r="AK2" s="435"/>
      <c r="AL2" s="435"/>
      <c r="AM2" s="435"/>
      <c r="AN2" s="435"/>
      <c r="AO2" s="435"/>
      <c r="AP2" s="435"/>
      <c r="AQ2" s="435"/>
      <c r="AR2" s="435"/>
      <c r="AS2" s="435"/>
      <c r="AT2" s="435"/>
      <c r="AU2" s="435"/>
      <c r="AV2" s="435"/>
      <c r="AW2" s="435"/>
      <c r="AX2" s="435"/>
      <c r="AY2" s="435"/>
      <c r="AZ2" s="435"/>
      <c r="BA2" s="435"/>
      <c r="BB2" s="435"/>
      <c r="BC2" s="435"/>
      <c r="BD2" s="435"/>
      <c r="BE2" s="435"/>
      <c r="BF2" s="435"/>
      <c r="BG2" s="435"/>
      <c r="BH2" s="435"/>
      <c r="BI2" s="435"/>
      <c r="BJ2" s="435"/>
      <c r="BK2" s="435"/>
      <c r="BL2" s="435"/>
      <c r="BM2" s="435"/>
      <c r="BN2" s="435"/>
      <c r="BO2" s="435"/>
      <c r="BP2" s="435"/>
      <c r="BQ2" s="435"/>
      <c r="BR2" s="435"/>
      <c r="BS2" s="435"/>
      <c r="BT2" s="438"/>
      <c r="BU2" s="438"/>
      <c r="BV2" s="438"/>
      <c r="BW2" s="438"/>
      <c r="BX2" s="438"/>
      <c r="BY2" s="438"/>
      <c r="BZ2" s="438"/>
      <c r="CA2" s="438"/>
      <c r="CB2" s="438"/>
      <c r="CC2" s="438"/>
      <c r="IU2" s="439">
        <v>0</v>
      </c>
    </row>
    <row s="1658" customFormat="1" customHeight="1" ht="4.2">
      <c r="A3" s="512"/>
      <c r="D3" s="510"/>
      <c r="F3" s="263" t="s">
        <v>86</v>
      </c>
      <c r="G3" s="510" t="s">
        <v>87</v>
      </c>
      <c r="H3" s="510"/>
      <c r="I3" s="510"/>
      <c r="J3" s="243" t="s">
        <v>88</v>
      </c>
      <c r="K3" s="263" t="s">
        <v>86</v>
      </c>
      <c r="L3" s="263"/>
      <c r="M3" s="263"/>
      <c r="N3" s="263"/>
      <c r="O3" s="264"/>
      <c r="P3" s="263"/>
      <c r="Q3" s="263"/>
      <c r="R3" s="263"/>
      <c r="S3" s="263"/>
      <c r="T3" s="26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3"/>
      <c r="EB3" s="243"/>
      <c r="EC3" s="243"/>
      <c r="ED3" s="243"/>
      <c r="EE3" s="243"/>
      <c r="EF3" s="243"/>
      <c r="EG3" s="243"/>
      <c r="EH3" s="243"/>
      <c r="EI3" s="243"/>
      <c r="EJ3" s="243"/>
      <c r="EK3" s="243"/>
      <c r="EL3" s="243"/>
      <c r="EM3" s="243"/>
      <c r="EN3" s="243"/>
      <c r="EO3" s="243"/>
      <c r="EP3" s="243"/>
      <c r="EQ3" s="243"/>
      <c r="ER3" s="243"/>
      <c r="ES3" s="243"/>
      <c r="ET3" s="243"/>
      <c r="EU3" s="243"/>
      <c r="EV3" s="243"/>
      <c r="EW3" s="243"/>
      <c r="EX3" s="243"/>
      <c r="EY3" s="243"/>
      <c r="EZ3" s="243"/>
      <c r="FA3" s="243"/>
      <c r="FB3" s="243"/>
      <c r="FC3" s="243"/>
      <c r="FD3" s="243"/>
      <c r="FE3" s="243"/>
      <c r="FF3" s="243"/>
      <c r="FG3" s="243"/>
      <c r="FH3" s="243"/>
      <c r="FI3" s="243"/>
      <c r="FJ3" s="243"/>
      <c r="FK3" s="243"/>
      <c r="FL3" s="243"/>
      <c r="FM3" s="243"/>
      <c r="FN3" s="243"/>
      <c r="FO3" s="243"/>
      <c r="FP3" s="243"/>
      <c r="FQ3" s="243"/>
      <c r="FR3" s="243"/>
      <c r="FS3" s="243"/>
      <c r="FT3" s="243"/>
      <c r="FU3" s="243"/>
      <c r="FV3" s="243"/>
      <c r="FW3" s="243"/>
      <c r="FX3" s="243"/>
      <c r="FY3" s="243"/>
      <c r="FZ3" s="243"/>
      <c r="GA3" s="243"/>
      <c r="GB3" s="243"/>
      <c r="GC3" s="243"/>
      <c r="GD3" s="243"/>
      <c r="GE3" s="243"/>
      <c r="GF3" s="243"/>
      <c r="GG3" s="243"/>
      <c r="GH3" s="243"/>
      <c r="GI3" s="243"/>
      <c r="GJ3" s="243"/>
      <c r="GK3" s="243"/>
      <c r="GL3" s="243"/>
      <c r="GM3" s="243"/>
      <c r="GN3" s="243"/>
      <c r="GO3" s="243"/>
      <c r="GP3" s="243"/>
      <c r="GQ3" s="243"/>
      <c r="GR3" s="243"/>
      <c r="GS3" s="243"/>
      <c r="GT3" s="243"/>
      <c r="GU3" s="243"/>
      <c r="GV3" s="243"/>
      <c r="GW3" s="243"/>
      <c r="GX3" s="243"/>
      <c r="GY3" s="243"/>
      <c r="GZ3" s="243"/>
      <c r="HA3" s="243"/>
      <c r="HB3" s="243"/>
      <c r="HC3" s="243"/>
      <c r="HD3" s="243"/>
      <c r="HE3" s="243"/>
      <c r="HF3" s="243"/>
      <c r="HG3" s="243"/>
      <c r="HH3" s="243"/>
      <c r="HI3" s="243"/>
      <c r="HJ3" s="243"/>
      <c r="HK3" s="243"/>
      <c r="HL3" s="243"/>
      <c r="HM3" s="243"/>
      <c r="HN3" s="243"/>
      <c r="HO3" s="243"/>
      <c r="HP3" s="243"/>
      <c r="HQ3" s="243"/>
      <c r="HR3" s="243"/>
      <c r="HS3" s="243"/>
      <c r="HT3" s="243"/>
      <c r="HU3" s="243"/>
      <c r="HV3" s="243"/>
      <c r="HW3" s="243"/>
      <c r="HX3" s="243"/>
      <c r="HY3" s="243"/>
      <c r="HZ3" s="243"/>
      <c r="IA3" s="243"/>
      <c r="IB3" s="243"/>
      <c r="IC3" s="243"/>
      <c r="ID3" s="243"/>
      <c r="IE3" s="243"/>
      <c r="IF3" s="243"/>
      <c r="IG3" s="243"/>
      <c r="IH3" s="243"/>
      <c r="II3" s="243"/>
      <c r="IJ3" s="243"/>
      <c r="IK3" s="243"/>
      <c r="IL3" s="243"/>
      <c r="IM3" s="243"/>
      <c r="IN3" s="243"/>
      <c r="IO3" s="243"/>
      <c r="IP3" s="243"/>
      <c r="IQ3" s="243"/>
      <c r="IR3" s="243"/>
      <c r="IS3" s="243"/>
      <c r="IT3" s="243"/>
      <c r="IU3" s="527">
        <v>4</v>
      </c>
    </row>
    <row s="1835" customFormat="1" customHeight="1" ht="14.699999999999998">
      <c r="A4" s="1171"/>
      <c r="B4" s="1176"/>
      <c r="C4" s="1171"/>
      <c r="D4" s="1511"/>
      <c r="E4" s="525"/>
      <c r="F4" s="1658"/>
      <c r="G4" s="525"/>
      <c r="H4" s="525"/>
      <c r="I4" s="525"/>
      <c r="J4" s="182"/>
      <c r="K4" s="263"/>
      <c r="L4" s="516"/>
      <c r="M4" s="516"/>
      <c r="N4" s="516"/>
      <c r="O4" s="242"/>
      <c r="P4" s="516"/>
      <c r="Q4" s="241"/>
      <c r="R4" s="241"/>
      <c r="S4" s="241"/>
      <c r="T4" s="241"/>
      <c r="IU4" s="523">
        <v>14</v>
      </c>
    </row>
    <row s="1835" customFormat="1" customHeight="1" ht="27.299999999999997">
      <c r="A5" s="1171"/>
      <c r="B5" s="1176"/>
      <c r="C5" s="1171"/>
      <c r="D5" s="1511"/>
      <c r="E5" s="211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6"/>
      <c r="G5" s="2116"/>
      <c r="H5" s="2116"/>
      <c r="I5" s="2116"/>
      <c r="J5" s="2116"/>
      <c r="K5" s="263"/>
      <c r="L5" s="516"/>
      <c r="M5" s="516"/>
      <c r="N5" s="516"/>
      <c r="O5" s="242"/>
      <c r="P5" s="516"/>
      <c r="Q5" s="241"/>
      <c r="R5" s="241"/>
      <c r="S5" s="241"/>
      <c r="T5" s="241"/>
      <c r="IU5" s="523">
        <v>26</v>
      </c>
    </row>
    <row s="1835" customFormat="1" customHeight="1" ht="14.699999999999998">
      <c r="A6" s="1171"/>
      <c r="B6" s="1176"/>
      <c r="C6" s="1171"/>
      <c r="D6" s="1511"/>
      <c r="E6" s="525"/>
      <c r="F6" s="183"/>
      <c r="G6" s="183"/>
      <c r="H6" s="183"/>
      <c r="I6" s="183"/>
      <c r="J6" s="184"/>
      <c r="K6" s="516"/>
      <c r="L6" s="516"/>
      <c r="M6" s="516"/>
      <c r="N6" s="516"/>
      <c r="O6" s="242"/>
      <c r="P6" s="516"/>
      <c r="Q6" s="241"/>
      <c r="R6" s="241"/>
      <c r="S6" s="241"/>
      <c r="T6" s="241"/>
      <c r="IU6" s="523">
        <v>14</v>
      </c>
    </row>
    <row s="1835" customFormat="1" customHeight="1" ht="14.699999999999998">
      <c r="A7" s="1171"/>
      <c r="B7" s="1176"/>
      <c r="C7" s="1171"/>
      <c r="D7" s="1511"/>
      <c r="E7" s="2117" t="s">
        <v>453</v>
      </c>
      <c r="F7" s="2118"/>
      <c r="G7" s="2118"/>
      <c r="H7" s="2118"/>
      <c r="I7" s="2118"/>
      <c r="J7" s="2490" t="s">
        <v>454</v>
      </c>
      <c r="K7" s="516"/>
      <c r="L7" s="516"/>
      <c r="M7" s="516"/>
      <c r="N7" s="516"/>
      <c r="O7" s="242"/>
      <c r="P7" s="516"/>
      <c r="Q7" s="241"/>
      <c r="R7" s="241"/>
      <c r="S7" s="241"/>
      <c r="T7" s="241"/>
      <c r="IU7" s="523">
        <v>14</v>
      </c>
    </row>
    <row s="1835" customFormat="1" customHeight="1" ht="21">
      <c r="A8" s="1171"/>
      <c r="B8" s="1176"/>
      <c r="C8" s="1171"/>
      <c r="D8" s="1511"/>
      <c r="E8" s="1564" t="s">
        <v>91</v>
      </c>
      <c r="F8" s="1556" t="s">
        <v>2017</v>
      </c>
      <c r="G8" s="1556" t="s">
        <v>51</v>
      </c>
      <c r="H8" s="1556" t="s">
        <v>53</v>
      </c>
      <c r="I8" s="1556" t="s">
        <v>2018</v>
      </c>
      <c r="J8" s="2491"/>
      <c r="K8" s="516"/>
      <c r="L8" s="516"/>
      <c r="M8" s="516"/>
      <c r="N8" s="516"/>
      <c r="O8" s="242"/>
      <c r="P8" s="516"/>
      <c r="Q8" s="241"/>
      <c r="R8" s="241"/>
      <c r="S8" s="241"/>
      <c r="T8" s="241"/>
      <c r="IU8" s="523">
        <v>20</v>
      </c>
    </row>
    <row s="1866" customFormat="1" customHeight="1" ht="23.25">
      <c r="A9" s="1647"/>
      <c r="B9" s="1176">
        <v>1</v>
      </c>
      <c r="C9" s="1176"/>
      <c r="D9" s="817"/>
      <c r="E9" s="1500">
        <v>1</v>
      </c>
      <c r="F9" s="1563"/>
      <c r="G9" s="1507"/>
      <c r="H9" s="1507"/>
      <c r="I9" s="1554"/>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1"/>
      <c r="L9" s="527"/>
      <c r="M9" s="527"/>
      <c r="N9" s="516" t="str">
        <f t="array" ref="N9:N9">IF(ISERROR(MATCH(MID(O9,1,250),MID(note_ter,1,250),0)),"n","y")</f>
        <v>n</v>
      </c>
      <c r="O9" s="527"/>
      <c r="P9" s="51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6"/>
      <c r="R9" s="1176"/>
      <c r="S9" s="436"/>
      <c r="T9" s="1176"/>
      <c r="U9" s="1176"/>
      <c r="V9" s="1176"/>
      <c r="W9" s="438"/>
      <c r="X9" s="438"/>
      <c r="Y9" s="435"/>
      <c r="Z9" s="435"/>
      <c r="AA9" s="435"/>
      <c r="AB9" s="435"/>
      <c r="AC9" s="435"/>
      <c r="AD9" s="435"/>
      <c r="AE9" s="435"/>
      <c r="AF9" s="435"/>
      <c r="AG9" s="435"/>
      <c r="AH9" s="435"/>
      <c r="AI9" s="435"/>
      <c r="AJ9" s="435"/>
      <c r="AK9" s="435"/>
      <c r="AL9" s="435"/>
      <c r="AM9" s="435"/>
      <c r="AN9" s="435"/>
      <c r="AO9" s="435"/>
      <c r="AP9" s="435"/>
      <c r="AQ9" s="435"/>
      <c r="AR9" s="435"/>
      <c r="AS9" s="435"/>
      <c r="AT9" s="435"/>
      <c r="AU9" s="435"/>
      <c r="AV9" s="435"/>
      <c r="AW9" s="435"/>
      <c r="AX9" s="435"/>
      <c r="AY9" s="435"/>
      <c r="AZ9" s="435"/>
      <c r="BA9" s="435"/>
      <c r="BB9" s="435"/>
      <c r="BC9" s="435"/>
      <c r="BD9" s="435"/>
      <c r="BE9" s="435"/>
      <c r="BF9" s="435"/>
      <c r="BG9" s="435"/>
      <c r="BH9" s="435"/>
      <c r="BI9" s="435"/>
      <c r="BJ9" s="435"/>
      <c r="BK9" s="435"/>
      <c r="BL9" s="435"/>
      <c r="BM9" s="435"/>
      <c r="BN9" s="435"/>
      <c r="BO9" s="435"/>
      <c r="BP9" s="435"/>
      <c r="BQ9" s="435"/>
      <c r="BR9" s="435"/>
      <c r="BS9" s="435"/>
      <c r="BT9" s="438"/>
      <c r="BU9" s="438"/>
      <c r="BV9" s="438"/>
      <c r="BW9" s="438"/>
      <c r="BX9" s="438"/>
      <c r="BY9" s="438"/>
      <c r="BZ9" s="438"/>
      <c r="CA9" s="438"/>
      <c r="CB9" s="438"/>
      <c r="CC9" s="438"/>
      <c r="IU9" s="439">
        <v>22</v>
      </c>
    </row>
    <row s="1866" customFormat="1" customHeight="1" ht="15.75">
      <c r="A10" s="1647"/>
      <c r="B10" s="1176"/>
      <c r="C10" s="428"/>
      <c r="D10" s="817"/>
      <c r="E10" s="1557"/>
      <c r="F10" s="1516" t="s">
        <v>2019</v>
      </c>
      <c r="G10" s="1558"/>
      <c r="H10" s="1558"/>
      <c r="I10" s="1915"/>
      <c r="J10" s="2187"/>
      <c r="K10" s="1552"/>
      <c r="L10" s="527"/>
      <c r="M10" s="527"/>
      <c r="N10" s="527"/>
      <c r="O10" s="516"/>
      <c r="P10" s="527"/>
      <c r="Q10" s="1176"/>
      <c r="R10" s="1176"/>
      <c r="S10" s="436"/>
      <c r="T10" s="1176"/>
      <c r="U10" s="1176"/>
      <c r="V10" s="1176"/>
      <c r="W10" s="438"/>
      <c r="X10" s="438"/>
      <c r="Y10" s="435"/>
      <c r="Z10" s="435"/>
      <c r="AA10" s="435"/>
      <c r="AB10" s="435"/>
      <c r="AC10" s="435"/>
      <c r="AD10" s="435"/>
      <c r="AE10" s="435"/>
      <c r="AF10" s="435"/>
      <c r="AG10" s="435"/>
      <c r="AH10" s="435"/>
      <c r="AI10" s="435"/>
      <c r="AJ10" s="435"/>
      <c r="AK10" s="43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c r="BP10" s="435"/>
      <c r="BQ10" s="435"/>
      <c r="BR10" s="435"/>
      <c r="BS10" s="435"/>
      <c r="BT10" s="438"/>
      <c r="BU10" s="438"/>
      <c r="BV10" s="438"/>
      <c r="BW10" s="438"/>
      <c r="BX10" s="438"/>
      <c r="BY10" s="438"/>
      <c r="BZ10" s="438"/>
      <c r="CA10" s="438"/>
      <c r="CB10" s="438"/>
      <c r="CC10" s="438"/>
      <c r="IU10" s="439">
        <v>15</v>
      </c>
    </row>
    <row s="1835" customFormat="1" customHeight="1" ht="22.049999999999997">
      <c r="A11" s="1171"/>
      <c r="B11" s="1176"/>
      <c r="C11" s="1171"/>
      <c r="D11" s="467"/>
      <c r="E11" s="196"/>
      <c r="F11" s="196"/>
      <c r="G11" s="196"/>
      <c r="H11" s="196"/>
      <c r="I11" s="196"/>
      <c r="J11" s="196"/>
      <c r="K11" s="516"/>
      <c r="L11" s="516"/>
      <c r="M11" s="516"/>
      <c r="N11" s="516"/>
      <c r="O11" s="242"/>
      <c r="P11" s="516"/>
      <c r="Q11" s="241"/>
      <c r="R11" s="241"/>
      <c r="S11" s="241"/>
      <c r="T11" s="241"/>
      <c r="IU11" s="523">
        <v>21</v>
      </c>
    </row>
    <row s="1835" customFormat="1" customHeight="1" ht="14.699999999999998">
      <c r="A12" s="1171"/>
      <c r="B12" s="1176"/>
      <c r="C12" s="1171"/>
      <c r="D12" s="467"/>
      <c r="E12" s="1171"/>
      <c r="F12" s="1171"/>
      <c r="G12" s="1171"/>
      <c r="H12" s="1171"/>
      <c r="I12" s="1171"/>
      <c r="J12" s="1171"/>
      <c r="K12" s="516"/>
      <c r="L12" s="516"/>
      <c r="M12" s="516"/>
      <c r="N12" s="516"/>
      <c r="O12" s="242"/>
      <c r="P12" s="516"/>
      <c r="Q12" s="241"/>
      <c r="R12" s="241"/>
      <c r="S12" s="241"/>
      <c r="T12" s="241"/>
      <c r="IU12" s="523">
        <v>14</v>
      </c>
    </row>
    <row s="1835" customFormat="1" customHeight="1" ht="1.05">
      <c r="A13" s="1171"/>
      <c r="B13" s="1176"/>
      <c r="C13" s="1171"/>
      <c r="D13" s="467"/>
      <c r="E13" s="1171"/>
      <c r="F13" s="1171"/>
      <c r="G13" s="1171"/>
      <c r="H13" s="1171"/>
      <c r="I13" s="1171"/>
      <c r="J13" s="1171"/>
      <c r="K13" s="516"/>
      <c r="L13" s="516"/>
      <c r="M13" s="516"/>
      <c r="N13" s="516"/>
      <c r="O13" s="242"/>
      <c r="P13" s="516"/>
      <c r="Q13" s="241"/>
      <c r="R13" s="241"/>
      <c r="S13" s="241"/>
      <c r="T13" s="241"/>
      <c r="IU13" s="523">
        <v>1</v>
      </c>
    </row>
    <row s="1080" customFormat="1" customHeight="1" ht="10.5">
      <c r="B14" s="850"/>
      <c r="D14" s="198"/>
      <c r="K14" s="516"/>
      <c r="L14" s="516"/>
      <c r="M14" s="516"/>
      <c r="N14" s="516"/>
      <c r="O14" s="242"/>
      <c r="P14" s="516"/>
      <c r="Q14" s="241"/>
      <c r="R14" s="241"/>
      <c r="S14" s="241"/>
      <c r="T14" s="241"/>
      <c r="IU14" s="197">
        <v>10</v>
      </c>
    </row>
    <row s="1080" customFormat="1" customHeight="1" ht="10.5">
      <c r="B15" s="850"/>
      <c r="D15" s="198"/>
      <c r="K15" s="516"/>
      <c r="L15" s="516"/>
      <c r="M15" s="516"/>
      <c r="N15" s="516"/>
      <c r="O15" s="242"/>
      <c r="P15" s="516"/>
      <c r="Q15" s="241"/>
      <c r="R15" s="241"/>
      <c r="S15" s="241"/>
      <c r="T15" s="241"/>
      <c r="IU15" s="197">
        <v>10</v>
      </c>
    </row>
    <row customHeight="1" ht="14.699999999999998">
      <c r="IU16" s="1171">
        <v>14</v>
      </c>
    </row>
    <row customHeight="1" ht="14.699999999999998">
      <c r="IU17" s="1171">
        <v>14</v>
      </c>
    </row>
    <row customHeight="1" ht="14.699999999999998">
      <c r="IU18" s="1171">
        <v>14</v>
      </c>
    </row>
    <row customHeight="1" ht="14.699999999999998">
      <c r="G19" s="389"/>
      <c r="H19" s="389"/>
      <c r="I19" s="389"/>
      <c r="IU19" s="1171">
        <v>14</v>
      </c>
    </row>
    <row customHeight="1" ht="14.699999999999998">
      <c r="IU20" s="1171">
        <v>14</v>
      </c>
    </row>
    <row customHeight="1" ht="14.699999999999998">
      <c r="IU21" s="1171">
        <v>14</v>
      </c>
    </row>
    <row customHeight="1" ht="14.699999999999998">
      <c r="IU22" s="1171">
        <v>14</v>
      </c>
    </row>
    <row customHeight="1" ht="14.699999999999998">
      <c r="K23" s="1171"/>
      <c r="L23" s="1171"/>
      <c r="M23" s="1171"/>
      <c r="IU23" s="1171">
        <v>14</v>
      </c>
    </row>
    <row customHeight="1" ht="22.5" hidden="1">
      <c r="A24" s="1171" t="s">
        <v>85</v>
      </c>
      <c r="B24" s="1176">
        <v>0</v>
      </c>
      <c r="C24" s="1171">
        <v>0</v>
      </c>
      <c r="D24" s="467">
        <v>3</v>
      </c>
      <c r="E24" s="1171">
        <v>6</v>
      </c>
      <c r="F24" s="1171">
        <v>46</v>
      </c>
      <c r="G24" s="1171">
        <v>16</v>
      </c>
      <c r="H24" s="1171">
        <v>16</v>
      </c>
      <c r="I24" s="1171">
        <v>35</v>
      </c>
      <c r="J24" s="1171">
        <v>89</v>
      </c>
      <c r="K24" s="516">
        <v>3</v>
      </c>
      <c r="L24" s="516">
        <v>8</v>
      </c>
      <c r="M24" s="516">
        <v>8</v>
      </c>
      <c r="N24" s="516">
        <v>8</v>
      </c>
      <c r="O24" s="242">
        <v>25</v>
      </c>
      <c r="P24" s="516">
        <v>14</v>
      </c>
      <c r="Q24" s="241">
        <v>8</v>
      </c>
      <c r="R24" s="241">
        <v>8</v>
      </c>
      <c r="S24" s="241">
        <v>8</v>
      </c>
      <c r="T24" s="241">
        <v>8</v>
      </c>
      <c r="U24" s="1171">
        <v>8</v>
      </c>
      <c r="V24" s="1171">
        <v>8</v>
      </c>
      <c r="W24" s="1171">
        <v>8</v>
      </c>
      <c r="X24" s="1171">
        <v>8</v>
      </c>
      <c r="Y24" s="1171">
        <v>8</v>
      </c>
      <c r="Z24" s="1171">
        <v>8</v>
      </c>
      <c r="AA24" s="1171">
        <v>8</v>
      </c>
      <c r="AB24" s="1171">
        <v>8</v>
      </c>
      <c r="AC24" s="1171">
        <v>8</v>
      </c>
      <c r="AD24" s="1171">
        <v>8</v>
      </c>
      <c r="AE24" s="1171">
        <v>8</v>
      </c>
      <c r="AF24" s="1171">
        <v>8</v>
      </c>
      <c r="AG24" s="1171">
        <v>8</v>
      </c>
      <c r="AH24" s="1171">
        <v>8</v>
      </c>
      <c r="AI24" s="1171">
        <v>8</v>
      </c>
      <c r="AJ24" s="1171">
        <v>8</v>
      </c>
      <c r="AK24" s="1171">
        <v>8</v>
      </c>
      <c r="AL24" s="1171">
        <v>8</v>
      </c>
      <c r="AM24" s="1171">
        <v>8</v>
      </c>
      <c r="AN24" s="1171">
        <v>8</v>
      </c>
      <c r="AO24" s="1171">
        <v>8</v>
      </c>
      <c r="AP24" s="1171">
        <v>8</v>
      </c>
      <c r="AQ24" s="1171">
        <v>8</v>
      </c>
      <c r="AR24" s="1171">
        <v>8</v>
      </c>
      <c r="AS24" s="1171">
        <v>8</v>
      </c>
      <c r="AT24" s="1171">
        <v>8</v>
      </c>
      <c r="AU24" s="1171">
        <v>8</v>
      </c>
      <c r="AV24" s="1171">
        <v>8</v>
      </c>
      <c r="AW24" s="1171">
        <v>8</v>
      </c>
      <c r="AX24" s="1171">
        <v>8</v>
      </c>
      <c r="AY24" s="1171">
        <v>8</v>
      </c>
      <c r="AZ24" s="1171">
        <v>8</v>
      </c>
      <c r="BA24" s="1171">
        <v>8</v>
      </c>
      <c r="BB24" s="1171">
        <v>8</v>
      </c>
      <c r="BC24" s="1171">
        <v>8</v>
      </c>
      <c r="BD24" s="1171">
        <v>8</v>
      </c>
      <c r="BE24" s="1171">
        <v>8</v>
      </c>
      <c r="BF24" s="1171">
        <v>8</v>
      </c>
      <c r="BG24" s="1171">
        <v>8</v>
      </c>
      <c r="BH24" s="1171">
        <v>8</v>
      </c>
      <c r="BI24" s="1171">
        <v>8</v>
      </c>
      <c r="BJ24" s="1171">
        <v>8</v>
      </c>
      <c r="BK24" s="1171">
        <v>8</v>
      </c>
      <c r="BL24" s="1171">
        <v>8</v>
      </c>
      <c r="BM24" s="1171">
        <v>8</v>
      </c>
      <c r="BN24" s="1171">
        <v>8</v>
      </c>
      <c r="BO24" s="1171">
        <v>8</v>
      </c>
      <c r="BP24" s="1171">
        <v>8</v>
      </c>
      <c r="BQ24" s="1171">
        <v>8</v>
      </c>
      <c r="BR24" s="1171">
        <v>8</v>
      </c>
      <c r="BS24" s="1171">
        <v>8</v>
      </c>
      <c r="BT24" s="1171">
        <v>8</v>
      </c>
      <c r="BU24" s="1171">
        <v>8</v>
      </c>
      <c r="BV24" s="1171">
        <v>8</v>
      </c>
      <c r="BW24" s="1171">
        <v>8</v>
      </c>
      <c r="BX24" s="1171">
        <v>8</v>
      </c>
      <c r="BY24" s="1171">
        <v>8</v>
      </c>
      <c r="BZ24" s="1171">
        <v>8</v>
      </c>
      <c r="CA24" s="1171">
        <v>8</v>
      </c>
      <c r="CB24" s="1171">
        <v>8</v>
      </c>
      <c r="CC24" s="1171">
        <v>8</v>
      </c>
      <c r="CD24" s="1171">
        <v>8</v>
      </c>
      <c r="CE24" s="1171">
        <v>8</v>
      </c>
      <c r="CF24" s="1171">
        <v>8</v>
      </c>
      <c r="CG24" s="1171">
        <v>8</v>
      </c>
      <c r="CH24" s="1171">
        <v>8</v>
      </c>
      <c r="CI24" s="1171">
        <v>8</v>
      </c>
      <c r="CJ24" s="1171">
        <v>8</v>
      </c>
      <c r="CK24" s="1171">
        <v>8</v>
      </c>
      <c r="CL24" s="1171">
        <v>8</v>
      </c>
      <c r="CM24" s="1171">
        <v>8</v>
      </c>
      <c r="CN24" s="1171">
        <v>8</v>
      </c>
      <c r="CO24" s="1171">
        <v>8</v>
      </c>
      <c r="CP24" s="1171">
        <v>8</v>
      </c>
      <c r="CQ24" s="1171">
        <v>8</v>
      </c>
      <c r="CR24" s="1171">
        <v>8</v>
      </c>
      <c r="CS24" s="1171">
        <v>8</v>
      </c>
      <c r="CT24" s="1171">
        <v>8</v>
      </c>
      <c r="CU24" s="1171">
        <v>8</v>
      </c>
      <c r="CV24" s="1171">
        <v>8</v>
      </c>
      <c r="CW24" s="1171">
        <v>8</v>
      </c>
      <c r="CX24" s="1171">
        <v>8</v>
      </c>
      <c r="CY24" s="1171">
        <v>8</v>
      </c>
      <c r="CZ24" s="1171">
        <v>8</v>
      </c>
      <c r="DA24" s="1171">
        <v>8</v>
      </c>
      <c r="DB24" s="1171">
        <v>8</v>
      </c>
      <c r="DC24" s="1171">
        <v>8</v>
      </c>
      <c r="DD24" s="1171">
        <v>8</v>
      </c>
      <c r="DE24" s="1171">
        <v>8</v>
      </c>
      <c r="DF24" s="1171">
        <v>8</v>
      </c>
      <c r="DG24" s="1171">
        <v>8</v>
      </c>
      <c r="DH24" s="1171">
        <v>8</v>
      </c>
      <c r="DI24" s="1171">
        <v>8</v>
      </c>
      <c r="DJ24" s="1171">
        <v>8</v>
      </c>
      <c r="DK24" s="1171">
        <v>8</v>
      </c>
      <c r="DL24" s="1171">
        <v>8</v>
      </c>
      <c r="DM24" s="1171">
        <v>8</v>
      </c>
      <c r="DN24" s="1171">
        <v>8</v>
      </c>
      <c r="DO24" s="1171">
        <v>8</v>
      </c>
      <c r="DP24" s="1171">
        <v>8</v>
      </c>
      <c r="DQ24" s="1171">
        <v>8</v>
      </c>
      <c r="DR24" s="1171">
        <v>8</v>
      </c>
      <c r="DS24" s="1171">
        <v>8</v>
      </c>
      <c r="DT24" s="1171">
        <v>8</v>
      </c>
      <c r="DU24" s="1171">
        <v>8</v>
      </c>
      <c r="DV24" s="1171">
        <v>8</v>
      </c>
      <c r="DW24" s="1171">
        <v>8</v>
      </c>
      <c r="DX24" s="1171">
        <v>8</v>
      </c>
      <c r="DY24" s="1171">
        <v>8</v>
      </c>
      <c r="DZ24" s="1171">
        <v>8</v>
      </c>
      <c r="EA24" s="1171">
        <v>8</v>
      </c>
      <c r="EB24" s="1171">
        <v>8</v>
      </c>
      <c r="EC24" s="1171">
        <v>8</v>
      </c>
      <c r="ED24" s="1171">
        <v>8</v>
      </c>
      <c r="EE24" s="1171">
        <v>8</v>
      </c>
      <c r="EF24" s="1171">
        <v>8</v>
      </c>
      <c r="EG24" s="1171">
        <v>8</v>
      </c>
      <c r="EH24" s="1171">
        <v>8</v>
      </c>
      <c r="EI24" s="1171">
        <v>8</v>
      </c>
      <c r="EJ24" s="1171">
        <v>8</v>
      </c>
      <c r="EK24" s="1171">
        <v>8</v>
      </c>
      <c r="EL24" s="1171">
        <v>8</v>
      </c>
      <c r="EM24" s="1171">
        <v>8</v>
      </c>
      <c r="EN24" s="1171">
        <v>8</v>
      </c>
      <c r="EO24" s="1171">
        <v>8</v>
      </c>
      <c r="EP24" s="1171">
        <v>8</v>
      </c>
      <c r="EQ24" s="1171">
        <v>8</v>
      </c>
      <c r="ER24" s="1171">
        <v>8</v>
      </c>
      <c r="ES24" s="1171">
        <v>8</v>
      </c>
      <c r="ET24" s="1171">
        <v>8</v>
      </c>
      <c r="EU24" s="1171">
        <v>8</v>
      </c>
      <c r="EV24" s="1171">
        <v>8</v>
      </c>
      <c r="EW24" s="1171">
        <v>8</v>
      </c>
      <c r="EX24" s="1171">
        <v>8</v>
      </c>
      <c r="EY24" s="1171">
        <v>8</v>
      </c>
      <c r="EZ24" s="1171">
        <v>8</v>
      </c>
      <c r="FA24" s="1171">
        <v>8</v>
      </c>
      <c r="FB24" s="1171">
        <v>8</v>
      </c>
      <c r="FC24" s="1171">
        <v>8</v>
      </c>
      <c r="FD24" s="1171">
        <v>8</v>
      </c>
      <c r="FE24" s="1171">
        <v>8</v>
      </c>
      <c r="FF24" s="1171">
        <v>8</v>
      </c>
      <c r="FG24" s="1171">
        <v>8</v>
      </c>
      <c r="FH24" s="1171">
        <v>8</v>
      </c>
      <c r="FI24" s="1171">
        <v>8</v>
      </c>
      <c r="FJ24" s="1171">
        <v>8</v>
      </c>
      <c r="FK24" s="1171">
        <v>8</v>
      </c>
      <c r="FL24" s="1171">
        <v>8</v>
      </c>
      <c r="FM24" s="1171">
        <v>8</v>
      </c>
      <c r="FN24" s="1171">
        <v>8</v>
      </c>
      <c r="FO24" s="1171">
        <v>8</v>
      </c>
      <c r="FP24" s="1171">
        <v>8</v>
      </c>
      <c r="FQ24" s="1171">
        <v>8</v>
      </c>
      <c r="FR24" s="1171">
        <v>8</v>
      </c>
      <c r="FS24" s="1171">
        <v>8</v>
      </c>
      <c r="FT24" s="1171">
        <v>8</v>
      </c>
      <c r="FU24" s="1171">
        <v>8</v>
      </c>
      <c r="FV24" s="1171">
        <v>8</v>
      </c>
      <c r="FW24" s="1171">
        <v>8</v>
      </c>
      <c r="FX24" s="1171">
        <v>8</v>
      </c>
      <c r="FY24" s="1171">
        <v>8</v>
      </c>
      <c r="FZ24" s="1171">
        <v>8</v>
      </c>
      <c r="GA24" s="1171">
        <v>8</v>
      </c>
      <c r="GB24" s="1171">
        <v>8</v>
      </c>
      <c r="GC24" s="1171">
        <v>8</v>
      </c>
      <c r="GD24" s="1171">
        <v>8</v>
      </c>
      <c r="GE24" s="1171">
        <v>8</v>
      </c>
      <c r="GF24" s="1171">
        <v>8</v>
      </c>
      <c r="GG24" s="1171">
        <v>8</v>
      </c>
      <c r="GH24" s="1171">
        <v>8</v>
      </c>
      <c r="GI24" s="1171">
        <v>8</v>
      </c>
      <c r="GJ24" s="1171">
        <v>8</v>
      </c>
      <c r="GK24" s="1171">
        <v>8</v>
      </c>
      <c r="GL24" s="1171">
        <v>8</v>
      </c>
      <c r="GM24" s="1171">
        <v>8</v>
      </c>
      <c r="GN24" s="1171">
        <v>8</v>
      </c>
      <c r="GO24" s="1171">
        <v>8</v>
      </c>
      <c r="GP24" s="1171">
        <v>8</v>
      </c>
      <c r="GQ24" s="1171">
        <v>8</v>
      </c>
      <c r="GR24" s="1171">
        <v>8</v>
      </c>
      <c r="GS24" s="1171">
        <v>8</v>
      </c>
      <c r="GT24" s="1171">
        <v>8</v>
      </c>
      <c r="GU24" s="1171">
        <v>8</v>
      </c>
      <c r="GV24" s="1171">
        <v>8</v>
      </c>
      <c r="GW24" s="1171">
        <v>8</v>
      </c>
      <c r="GX24" s="1171">
        <v>8</v>
      </c>
      <c r="GY24" s="1171">
        <v>8</v>
      </c>
      <c r="GZ24" s="1171">
        <v>8</v>
      </c>
      <c r="HA24" s="1171">
        <v>8</v>
      </c>
      <c r="HB24" s="1171">
        <v>8</v>
      </c>
      <c r="HC24" s="1171">
        <v>8</v>
      </c>
      <c r="HD24" s="1171">
        <v>8</v>
      </c>
      <c r="HE24" s="1171">
        <v>8</v>
      </c>
      <c r="HF24" s="1171">
        <v>8</v>
      </c>
      <c r="HG24" s="1171">
        <v>8</v>
      </c>
      <c r="HH24" s="1171">
        <v>8</v>
      </c>
      <c r="HI24" s="1171">
        <v>8</v>
      </c>
      <c r="HJ24" s="1171">
        <v>8</v>
      </c>
      <c r="HK24" s="1171">
        <v>8</v>
      </c>
      <c r="HL24" s="1171">
        <v>8</v>
      </c>
      <c r="HM24" s="1171">
        <v>8</v>
      </c>
      <c r="HN24" s="1171">
        <v>8</v>
      </c>
      <c r="HO24" s="1171">
        <v>8</v>
      </c>
      <c r="HP24" s="1171">
        <v>8</v>
      </c>
      <c r="HQ24" s="1171">
        <v>8</v>
      </c>
      <c r="HR24" s="1171">
        <v>8</v>
      </c>
      <c r="HS24" s="1171">
        <v>8</v>
      </c>
      <c r="HT24" s="1171">
        <v>8</v>
      </c>
      <c r="HU24" s="1171">
        <v>8</v>
      </c>
      <c r="HV24" s="1171">
        <v>8</v>
      </c>
      <c r="HW24" s="1171">
        <v>8</v>
      </c>
      <c r="HX24" s="1171">
        <v>8</v>
      </c>
      <c r="HY24" s="1171">
        <v>8</v>
      </c>
      <c r="HZ24" s="1171">
        <v>8</v>
      </c>
      <c r="IA24" s="1171">
        <v>8</v>
      </c>
      <c r="IB24" s="1171">
        <v>8</v>
      </c>
      <c r="IC24" s="1171">
        <v>8</v>
      </c>
      <c r="ID24" s="1171">
        <v>8</v>
      </c>
      <c r="IE24" s="1171">
        <v>8</v>
      </c>
      <c r="IF24" s="1171">
        <v>8</v>
      </c>
      <c r="IG24" s="1171">
        <v>8</v>
      </c>
      <c r="IH24" s="1171">
        <v>8</v>
      </c>
      <c r="II24" s="1171">
        <v>8</v>
      </c>
      <c r="IJ24" s="1171">
        <v>8</v>
      </c>
      <c r="IK24" s="1171">
        <v>8</v>
      </c>
      <c r="IL24" s="1171">
        <v>8</v>
      </c>
      <c r="IM24" s="1171">
        <v>8</v>
      </c>
      <c r="IN24" s="1171">
        <v>8</v>
      </c>
      <c r="IO24" s="1171">
        <v>8</v>
      </c>
      <c r="IP24" s="1171">
        <v>8</v>
      </c>
      <c r="IQ24" s="1171">
        <v>8</v>
      </c>
      <c r="IR24" s="1171">
        <v>8</v>
      </c>
      <c r="IS24" s="1171">
        <v>8</v>
      </c>
      <c r="IT24" s="1171">
        <v>8</v>
      </c>
      <c r="IU24" s="117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B9273-C3D6-6B86-B2CC-3875A56D135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1" width="9.140625" hidden="1"/>
    <col min="2" max="2" style="1382" width="9.140625" hidden="1"/>
    <col min="3" max="3" style="1651" width="3.7109375" hidden="1" customWidth="1"/>
    <col min="4" max="4" style="1858" width="3.00390625" customWidth="1"/>
    <col min="5" max="5" style="1651" width="6.00390625" customWidth="1"/>
    <col min="6" max="6" style="1651" width="27.00390625" customWidth="1"/>
    <col min="7" max="7" style="1651" width="16.00390625" customWidth="1"/>
    <col min="8" max="8" style="1651" width="12.00390625" customWidth="1"/>
    <col min="9" max="9" style="1651" width="32.00390625" customWidth="1"/>
    <col min="10" max="11" style="1651" width="41.00390625" customWidth="1"/>
    <col min="12" max="12" style="1651" width="89.00390625" customWidth="1"/>
    <col min="13" max="13" style="1640" width="3.00390625" customWidth="1"/>
    <col min="14" max="16" style="1640" width="8.00390625" customWidth="1"/>
    <col min="17" max="17" style="1640" width="25.00390625" customWidth="1"/>
    <col min="18" max="18" style="1640" width="14.00390625" customWidth="1"/>
    <col min="19" max="22" style="241" width="8.00390625" customWidth="1"/>
    <col min="23" max="256" style="1651" width="8.00390625" customWidth="1"/>
    <col min="257" max="257" style="1651" width="9.140625" hidden="1"/>
  </cols>
  <sheetData>
    <row customHeight="1" ht="22.5" hidden="1">
      <c r="IW1" s="1171" t="s">
        <v>14</v>
      </c>
    </row>
    <row s="1866" customFormat="1" customHeight="1" ht="22.5" hidden="1">
      <c r="A2" s="847"/>
      <c r="B2" s="1176">
        <v>1</v>
      </c>
      <c r="C2" s="1176"/>
      <c r="D2" s="1944" t="s">
        <v>108</v>
      </c>
      <c r="E2" s="1905"/>
      <c r="F2" s="1908" t="str">
        <f>IF(ROIV_INFO_NAME="","",ROIV_INFO_NAME)</f>
        <v>КГУП "Примтеплоэнерго"</v>
      </c>
      <c r="G2" s="1933" t="s">
        <v>28</v>
      </c>
      <c r="H2" s="1932"/>
      <c r="I2" s="1554"/>
      <c r="J2" s="834"/>
      <c r="K2" s="834"/>
      <c r="L2" s="244"/>
      <c r="M2" s="1551">
        <f>MERGEVALUE(F2)</f>
      </c>
      <c r="N2" s="527"/>
      <c r="O2" s="527"/>
      <c r="P2" s="516" t="str">
        <f t="array" ref="P2:P2">IF(ISERROR(MATCH(MID(Q2,1,250),MID(note_ter,1,250),0)),"n","y")</f>
        <v>n</v>
      </c>
      <c r="Q2" s="527"/>
      <c r="R2" s="516" t="str">
        <f>G2&amp;"("&amp;L2&amp;")"</f>
        <v>()</v>
      </c>
      <c r="S2" s="1176"/>
      <c r="T2" s="1176"/>
      <c r="U2" s="436"/>
      <c r="V2" s="1176"/>
      <c r="W2" s="1176"/>
      <c r="X2" s="1176"/>
      <c r="Y2" s="438"/>
      <c r="Z2" s="438"/>
      <c r="AA2" s="435"/>
      <c r="AB2" s="435"/>
      <c r="AC2" s="435"/>
      <c r="AD2" s="435"/>
      <c r="AE2" s="435"/>
      <c r="AF2" s="435"/>
      <c r="AG2" s="435"/>
      <c r="AH2" s="435"/>
      <c r="AI2" s="435"/>
      <c r="AJ2" s="435"/>
      <c r="AK2" s="435"/>
      <c r="AL2" s="435"/>
      <c r="AM2" s="435"/>
      <c r="AN2" s="435"/>
      <c r="AO2" s="435"/>
      <c r="AP2" s="435"/>
      <c r="AQ2" s="435"/>
      <c r="AR2" s="435"/>
      <c r="AS2" s="435"/>
      <c r="AT2" s="435"/>
      <c r="AU2" s="435"/>
      <c r="AV2" s="435"/>
      <c r="AW2" s="435"/>
      <c r="AX2" s="435"/>
      <c r="AY2" s="435"/>
      <c r="AZ2" s="435"/>
      <c r="BA2" s="435"/>
      <c r="BB2" s="435"/>
      <c r="BC2" s="435"/>
      <c r="BD2" s="435"/>
      <c r="BE2" s="435"/>
      <c r="BF2" s="435"/>
      <c r="BG2" s="435"/>
      <c r="BH2" s="435"/>
      <c r="BI2" s="435"/>
      <c r="BJ2" s="435"/>
      <c r="BK2" s="435"/>
      <c r="BL2" s="435"/>
      <c r="BM2" s="435"/>
      <c r="BN2" s="435"/>
      <c r="BO2" s="435"/>
      <c r="BP2" s="435"/>
      <c r="BQ2" s="435"/>
      <c r="BR2" s="435"/>
      <c r="BS2" s="435"/>
      <c r="BT2" s="435"/>
      <c r="BU2" s="435"/>
      <c r="BV2" s="438"/>
      <c r="BW2" s="438"/>
      <c r="BX2" s="438"/>
      <c r="BY2" s="438"/>
      <c r="BZ2" s="438"/>
      <c r="CA2" s="438"/>
      <c r="CB2" s="438"/>
      <c r="CC2" s="438"/>
      <c r="CD2" s="438"/>
      <c r="CE2" s="438"/>
      <c r="IW2" s="439">
        <v>0</v>
      </c>
    </row>
    <row s="1658" customFormat="1" customHeight="1" ht="5.25" hidden="1">
      <c r="A3" s="512"/>
      <c r="D3" s="510"/>
      <c r="F3" s="263" t="s">
        <v>86</v>
      </c>
      <c r="G3" s="1751" t="s">
        <v>87</v>
      </c>
      <c r="H3" s="510"/>
      <c r="I3" s="510"/>
      <c r="J3" s="510"/>
      <c r="K3" s="510"/>
      <c r="L3" s="243" t="s">
        <v>88</v>
      </c>
      <c r="M3" s="263" t="s">
        <v>86</v>
      </c>
      <c r="N3" s="263"/>
      <c r="O3" s="263"/>
      <c r="P3" s="263"/>
      <c r="Q3" s="264"/>
      <c r="R3" s="263"/>
      <c r="S3" s="263"/>
      <c r="T3" s="263"/>
      <c r="U3" s="263"/>
      <c r="V3" s="26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3"/>
      <c r="EB3" s="243"/>
      <c r="EC3" s="243"/>
      <c r="ED3" s="243"/>
      <c r="EE3" s="243"/>
      <c r="EF3" s="243"/>
      <c r="EG3" s="243"/>
      <c r="EH3" s="243"/>
      <c r="EI3" s="243"/>
      <c r="EJ3" s="243"/>
      <c r="EK3" s="243"/>
      <c r="EL3" s="243"/>
      <c r="EM3" s="243"/>
      <c r="EN3" s="243"/>
      <c r="EO3" s="243"/>
      <c r="EP3" s="243"/>
      <c r="EQ3" s="243"/>
      <c r="ER3" s="243"/>
      <c r="ES3" s="243"/>
      <c r="ET3" s="243"/>
      <c r="EU3" s="243"/>
      <c r="EV3" s="243"/>
      <c r="EW3" s="243"/>
      <c r="EX3" s="243"/>
      <c r="EY3" s="243"/>
      <c r="EZ3" s="243"/>
      <c r="FA3" s="243"/>
      <c r="FB3" s="243"/>
      <c r="FC3" s="243"/>
      <c r="FD3" s="243"/>
      <c r="FE3" s="243"/>
      <c r="FF3" s="243"/>
      <c r="FG3" s="243"/>
      <c r="FH3" s="243"/>
      <c r="FI3" s="243"/>
      <c r="FJ3" s="243"/>
      <c r="FK3" s="243"/>
      <c r="FL3" s="243"/>
      <c r="FM3" s="243"/>
      <c r="FN3" s="243"/>
      <c r="FO3" s="243"/>
      <c r="FP3" s="243"/>
      <c r="FQ3" s="243"/>
      <c r="FR3" s="243"/>
      <c r="FS3" s="243"/>
      <c r="FT3" s="243"/>
      <c r="FU3" s="243"/>
      <c r="FV3" s="243"/>
      <c r="FW3" s="243"/>
      <c r="FX3" s="243"/>
      <c r="FY3" s="243"/>
      <c r="FZ3" s="243"/>
      <c r="GA3" s="243"/>
      <c r="GB3" s="243"/>
      <c r="GC3" s="243"/>
      <c r="GD3" s="243"/>
      <c r="GE3" s="243"/>
      <c r="GF3" s="243"/>
      <c r="GG3" s="243"/>
      <c r="GH3" s="243"/>
      <c r="GI3" s="243"/>
      <c r="GJ3" s="243"/>
      <c r="GK3" s="243"/>
      <c r="GL3" s="243"/>
      <c r="GM3" s="243"/>
      <c r="GN3" s="243"/>
      <c r="GO3" s="243"/>
      <c r="GP3" s="243"/>
      <c r="GQ3" s="243"/>
      <c r="GR3" s="243"/>
      <c r="GS3" s="243"/>
      <c r="GT3" s="243"/>
      <c r="GU3" s="243"/>
      <c r="GV3" s="243"/>
      <c r="GW3" s="243"/>
      <c r="GX3" s="243"/>
      <c r="GY3" s="243"/>
      <c r="GZ3" s="243"/>
      <c r="HA3" s="243"/>
      <c r="HB3" s="243"/>
      <c r="HC3" s="243"/>
      <c r="HD3" s="243"/>
      <c r="HE3" s="243"/>
      <c r="HF3" s="243"/>
      <c r="HG3" s="243"/>
      <c r="HH3" s="243"/>
      <c r="HI3" s="243"/>
      <c r="HJ3" s="243"/>
      <c r="HK3" s="243"/>
      <c r="HL3" s="243"/>
      <c r="HM3" s="243"/>
      <c r="HN3" s="243"/>
      <c r="HO3" s="243"/>
      <c r="HP3" s="243"/>
      <c r="HQ3" s="243"/>
      <c r="HR3" s="243"/>
      <c r="HS3" s="243"/>
      <c r="HT3" s="243"/>
      <c r="HU3" s="243"/>
      <c r="HV3" s="243"/>
      <c r="HW3" s="243"/>
      <c r="HX3" s="243"/>
      <c r="HY3" s="243"/>
      <c r="HZ3" s="243"/>
      <c r="IA3" s="243"/>
      <c r="IB3" s="243"/>
      <c r="IC3" s="243"/>
      <c r="ID3" s="243"/>
      <c r="IE3" s="243"/>
      <c r="IF3" s="243"/>
      <c r="IG3" s="243"/>
      <c r="IH3" s="243"/>
      <c r="II3" s="243"/>
      <c r="IJ3" s="243"/>
      <c r="IK3" s="243"/>
      <c r="IL3" s="243"/>
      <c r="IM3" s="243"/>
      <c r="IN3" s="243"/>
      <c r="IO3" s="243"/>
      <c r="IP3" s="243"/>
      <c r="IQ3" s="243"/>
      <c r="IR3" s="243"/>
      <c r="IS3" s="243"/>
      <c r="IT3" s="243"/>
      <c r="IU3" s="243"/>
      <c r="IV3" s="243"/>
      <c r="IW3" s="527">
        <v>0</v>
      </c>
    </row>
    <row s="1835" customFormat="1" customHeight="1" ht="14.699999999999998">
      <c r="A4" s="1171"/>
      <c r="B4" s="1176"/>
      <c r="C4" s="1171"/>
      <c r="D4" s="1511"/>
      <c r="E4" s="525"/>
      <c r="F4" s="525"/>
      <c r="G4" s="525"/>
      <c r="H4" s="525"/>
      <c r="I4" s="525"/>
      <c r="J4" s="525"/>
      <c r="K4" s="525"/>
      <c r="L4" s="182"/>
      <c r="M4" s="263"/>
      <c r="N4" s="516"/>
      <c r="O4" s="516"/>
      <c r="P4" s="516"/>
      <c r="Q4" s="242"/>
      <c r="R4" s="516"/>
      <c r="S4" s="241"/>
      <c r="T4" s="241"/>
      <c r="U4" s="241"/>
      <c r="V4" s="241"/>
      <c r="IW4" s="523">
        <v>14</v>
      </c>
    </row>
    <row s="1835" customFormat="1" customHeight="1" ht="27.299999999999997">
      <c r="A5" s="1171"/>
      <c r="B5" s="1176"/>
      <c r="C5" s="1171"/>
      <c r="D5" s="1511"/>
      <c r="E5" s="211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6"/>
      <c r="G5" s="2116"/>
      <c r="H5" s="2116"/>
      <c r="I5" s="2116"/>
      <c r="J5" s="2116"/>
      <c r="K5" s="2116"/>
      <c r="L5" s="604"/>
      <c r="M5" s="263"/>
      <c r="N5" s="516"/>
      <c r="O5" s="516"/>
      <c r="P5" s="516"/>
      <c r="Q5" s="242"/>
      <c r="R5" s="516"/>
      <c r="S5" s="241"/>
      <c r="T5" s="241"/>
      <c r="U5" s="241"/>
      <c r="V5" s="241"/>
      <c r="IW5" s="523">
        <v>26</v>
      </c>
    </row>
    <row s="1835" customFormat="1" customHeight="1" ht="14.699999999999998">
      <c r="A6" s="1171"/>
      <c r="B6" s="1176"/>
      <c r="C6" s="1171"/>
      <c r="D6" s="1511"/>
      <c r="E6" s="525"/>
      <c r="F6" s="183"/>
      <c r="G6" s="183"/>
      <c r="H6" s="183"/>
      <c r="I6" s="183"/>
      <c r="J6" s="183"/>
      <c r="K6" s="183"/>
      <c r="L6" s="184"/>
      <c r="M6" s="516"/>
      <c r="N6" s="516"/>
      <c r="O6" s="516"/>
      <c r="P6" s="516"/>
      <c r="Q6" s="242"/>
      <c r="R6" s="516"/>
      <c r="S6" s="241"/>
      <c r="T6" s="241"/>
      <c r="U6" s="241"/>
      <c r="V6" s="241"/>
      <c r="IW6" s="523">
        <v>14</v>
      </c>
    </row>
    <row s="1835" customFormat="1" customHeight="1" ht="14.699999999999998">
      <c r="A7" s="1171"/>
      <c r="B7" s="1176"/>
      <c r="C7" s="1171"/>
      <c r="D7" s="1511"/>
      <c r="E7" s="2117" t="s">
        <v>453</v>
      </c>
      <c r="F7" s="2118"/>
      <c r="G7" s="2118"/>
      <c r="H7" s="2118"/>
      <c r="I7" s="2118"/>
      <c r="J7" s="2118"/>
      <c r="K7" s="2118"/>
      <c r="L7" s="2490" t="s">
        <v>454</v>
      </c>
      <c r="M7" s="516"/>
      <c r="N7" s="516"/>
      <c r="O7" s="516"/>
      <c r="P7" s="516"/>
      <c r="Q7" s="242"/>
      <c r="R7" s="516"/>
      <c r="S7" s="241"/>
      <c r="T7" s="241"/>
      <c r="U7" s="241"/>
      <c r="V7" s="241"/>
      <c r="IW7" s="523">
        <v>14</v>
      </c>
    </row>
    <row s="1835" customFormat="1" customHeight="1" ht="67.2">
      <c r="A8" s="1171"/>
      <c r="B8" s="1176"/>
      <c r="C8" s="1171"/>
      <c r="D8" s="1511"/>
      <c r="E8" s="2494" t="s">
        <v>91</v>
      </c>
      <c r="F8" s="2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7"/>
      <c r="I8" s="2498"/>
      <c r="J8" s="2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2"/>
      <c r="M8" s="516"/>
      <c r="N8" s="516"/>
      <c r="O8" s="516"/>
      <c r="P8" s="516"/>
      <c r="Q8" s="242"/>
      <c r="R8" s="516"/>
      <c r="S8" s="241"/>
      <c r="T8" s="241"/>
      <c r="U8" s="241"/>
      <c r="V8" s="241"/>
      <c r="IW8" s="523">
        <v>64</v>
      </c>
    </row>
    <row s="1835" customFormat="1" customHeight="1" ht="29.25">
      <c r="A9" s="1171"/>
      <c r="B9" s="1176"/>
      <c r="C9" s="1171"/>
      <c r="D9" s="1511"/>
      <c r="E9" s="2495"/>
      <c r="F9" s="2495"/>
      <c r="G9" s="1553" t="s">
        <v>2020</v>
      </c>
      <c r="H9" s="1553" t="s">
        <v>2021</v>
      </c>
      <c r="I9" s="1553" t="s">
        <v>2022</v>
      </c>
      <c r="J9" s="2495"/>
      <c r="K9" s="2495"/>
      <c r="L9" s="2491"/>
      <c r="M9" s="516"/>
      <c r="N9" s="516"/>
      <c r="O9" s="516"/>
      <c r="P9" s="516"/>
      <c r="Q9" s="242"/>
      <c r="R9" s="516"/>
      <c r="S9" s="241"/>
      <c r="T9" s="241"/>
      <c r="U9" s="241"/>
      <c r="V9" s="241"/>
      <c r="IW9" s="523">
        <v>28</v>
      </c>
    </row>
    <row s="1866" customFormat="1" customHeight="1" ht="23.25">
      <c r="A10" s="2115"/>
      <c r="B10" s="1176">
        <v>1</v>
      </c>
      <c r="C10" s="1176"/>
      <c r="D10" s="816"/>
      <c r="E10" s="814">
        <v>1</v>
      </c>
      <c r="F10" s="1555" t="str">
        <f>IF(ROIV_INFO_NAME="","",ROIV_INFO_NAME)</f>
        <v>КГУП "Примтеплоэнерго"</v>
      </c>
      <c r="G10" s="1748" t="s">
        <v>28</v>
      </c>
      <c r="H10" s="1932"/>
      <c r="I10" s="1550"/>
      <c r="J10" s="834"/>
      <c r="K10" s="834"/>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1">
        <f>MERGEVALUE(F10)</f>
      </c>
      <c r="N10" s="527"/>
      <c r="O10" s="527"/>
      <c r="P10" s="516" t="str">
        <f t="array" ref="P10:P10">IF(ISERROR(MATCH(MID(Q10,1,250),MID(note_ter,1,250),0)),"n","y")</f>
        <v>n</v>
      </c>
      <c r="Q10" s="527"/>
      <c r="R10" s="51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6"/>
      <c r="T10" s="1176"/>
      <c r="U10" s="436"/>
      <c r="V10" s="1176"/>
      <c r="W10" s="1176"/>
      <c r="X10" s="1176"/>
      <c r="Y10" s="438"/>
      <c r="Z10" s="438"/>
      <c r="AA10" s="435"/>
      <c r="AB10" s="435"/>
      <c r="AC10" s="435"/>
      <c r="AD10" s="435"/>
      <c r="AE10" s="435"/>
      <c r="AF10" s="435"/>
      <c r="AG10" s="435"/>
      <c r="AH10" s="435"/>
      <c r="AI10" s="435"/>
      <c r="AJ10" s="435"/>
      <c r="AK10" s="43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c r="BP10" s="435"/>
      <c r="BQ10" s="435"/>
      <c r="BR10" s="435"/>
      <c r="BS10" s="435"/>
      <c r="BT10" s="435"/>
      <c r="BU10" s="435"/>
      <c r="BV10" s="438"/>
      <c r="BW10" s="438"/>
      <c r="BX10" s="438"/>
      <c r="BY10" s="438"/>
      <c r="BZ10" s="438"/>
      <c r="CA10" s="438"/>
      <c r="CB10" s="438"/>
      <c r="CC10" s="438"/>
      <c r="CD10" s="438"/>
      <c r="CE10" s="438"/>
      <c r="IW10" s="439">
        <v>22</v>
      </c>
    </row>
    <row s="1866" customFormat="1" customHeight="1" ht="15.75">
      <c r="A11" s="2115"/>
      <c r="B11" s="1176"/>
      <c r="C11" s="428"/>
      <c r="D11" s="817"/>
      <c r="E11" s="437"/>
      <c r="F11" s="432" t="s">
        <v>2023</v>
      </c>
      <c r="G11" s="203"/>
      <c r="H11" s="203"/>
      <c r="I11" s="203"/>
      <c r="J11" s="203"/>
      <c r="K11" s="440"/>
      <c r="L11" s="2493"/>
      <c r="M11" s="1552"/>
      <c r="N11" s="527"/>
      <c r="O11" s="527"/>
      <c r="P11" s="527"/>
      <c r="Q11" s="516"/>
      <c r="R11" s="527"/>
      <c r="S11" s="1176"/>
      <c r="T11" s="1176"/>
      <c r="U11" s="436"/>
      <c r="V11" s="1176"/>
      <c r="W11" s="1176"/>
      <c r="X11" s="1176"/>
      <c r="Y11" s="438"/>
      <c r="Z11" s="438"/>
      <c r="AA11" s="435"/>
      <c r="AB11" s="435"/>
      <c r="AC11" s="435"/>
      <c r="AD11" s="435"/>
      <c r="AE11" s="435"/>
      <c r="AF11" s="435"/>
      <c r="AG11" s="435"/>
      <c r="AH11" s="435"/>
      <c r="AI11" s="435"/>
      <c r="AJ11" s="435"/>
      <c r="AK11" s="435"/>
      <c r="AL11" s="435"/>
      <c r="AM11" s="435"/>
      <c r="AN11" s="435"/>
      <c r="AO11" s="435"/>
      <c r="AP11" s="435"/>
      <c r="AQ11" s="435"/>
      <c r="AR11" s="435"/>
      <c r="AS11" s="435"/>
      <c r="AT11" s="435"/>
      <c r="AU11" s="435"/>
      <c r="AV11" s="435"/>
      <c r="AW11" s="435"/>
      <c r="AX11" s="435"/>
      <c r="AY11" s="435"/>
      <c r="AZ11" s="435"/>
      <c r="BA11" s="435"/>
      <c r="BB11" s="435"/>
      <c r="BC11" s="435"/>
      <c r="BD11" s="435"/>
      <c r="BE11" s="435"/>
      <c r="BF11" s="435"/>
      <c r="BG11" s="435"/>
      <c r="BH11" s="435"/>
      <c r="BI11" s="435"/>
      <c r="BJ11" s="435"/>
      <c r="BK11" s="435"/>
      <c r="BL11" s="435"/>
      <c r="BM11" s="435"/>
      <c r="BN11" s="435"/>
      <c r="BO11" s="435"/>
      <c r="BP11" s="435"/>
      <c r="BQ11" s="435"/>
      <c r="BR11" s="435"/>
      <c r="BS11" s="435"/>
      <c r="BT11" s="435"/>
      <c r="BU11" s="435"/>
      <c r="BV11" s="438"/>
      <c r="BW11" s="438"/>
      <c r="BX11" s="438"/>
      <c r="BY11" s="438"/>
      <c r="BZ11" s="438"/>
      <c r="CA11" s="438"/>
      <c r="CB11" s="438"/>
      <c r="CC11" s="438"/>
      <c r="CD11" s="438"/>
      <c r="CE11" s="438"/>
      <c r="IW11" s="439">
        <v>15</v>
      </c>
    </row>
    <row s="1835" customFormat="1" customHeight="1" ht="22.049999999999997">
      <c r="A12" s="1171"/>
      <c r="B12" s="1176"/>
      <c r="C12" s="1171"/>
      <c r="D12" s="467"/>
      <c r="E12" s="196"/>
      <c r="F12" s="196"/>
      <c r="G12" s="196"/>
      <c r="H12" s="196"/>
      <c r="I12" s="196"/>
      <c r="J12" s="196"/>
      <c r="K12" s="196"/>
      <c r="L12" s="196"/>
      <c r="M12" s="516"/>
      <c r="N12" s="516"/>
      <c r="O12" s="516"/>
      <c r="P12" s="516"/>
      <c r="Q12" s="242"/>
      <c r="R12" s="516"/>
      <c r="S12" s="241"/>
      <c r="T12" s="241"/>
      <c r="U12" s="241"/>
      <c r="V12" s="241"/>
      <c r="IW12" s="523">
        <v>21</v>
      </c>
    </row>
    <row s="1835" customFormat="1" customHeight="1" ht="14.699999999999998">
      <c r="A13" s="1171"/>
      <c r="B13" s="1176"/>
      <c r="C13" s="1171"/>
      <c r="D13" s="467"/>
      <c r="E13" s="1171"/>
      <c r="F13" s="1171"/>
      <c r="G13" s="1171"/>
      <c r="H13" s="1171"/>
      <c r="I13" s="1171"/>
      <c r="J13" s="1171"/>
      <c r="K13" s="1171"/>
      <c r="L13" s="1171"/>
      <c r="M13" s="516"/>
      <c r="N13" s="516"/>
      <c r="O13" s="516"/>
      <c r="P13" s="516"/>
      <c r="Q13" s="242"/>
      <c r="R13" s="516"/>
      <c r="S13" s="241"/>
      <c r="T13" s="241"/>
      <c r="U13" s="241"/>
      <c r="V13" s="241"/>
      <c r="IW13" s="523">
        <v>14</v>
      </c>
    </row>
    <row s="1835" customFormat="1" customHeight="1" ht="1.05">
      <c r="A14" s="1171"/>
      <c r="B14" s="1176"/>
      <c r="C14" s="1171"/>
      <c r="D14" s="467"/>
      <c r="E14" s="1171"/>
      <c r="F14" s="1171"/>
      <c r="G14" s="1171"/>
      <c r="H14" s="1171"/>
      <c r="I14" s="1171"/>
      <c r="J14" s="1171"/>
      <c r="K14" s="1171"/>
      <c r="L14" s="1171"/>
      <c r="M14" s="516"/>
      <c r="N14" s="516"/>
      <c r="O14" s="516"/>
      <c r="P14" s="516"/>
      <c r="Q14" s="242"/>
      <c r="R14" s="516"/>
      <c r="S14" s="241"/>
      <c r="T14" s="241"/>
      <c r="U14" s="241"/>
      <c r="V14" s="241"/>
      <c r="IW14" s="523">
        <v>1</v>
      </c>
    </row>
    <row customHeight="1" ht="22.5" hidden="1">
      <c r="A15" s="1171" t="s">
        <v>85</v>
      </c>
      <c r="B15" s="1176">
        <v>0</v>
      </c>
      <c r="C15" s="1171">
        <v>0</v>
      </c>
      <c r="D15" s="467">
        <v>3</v>
      </c>
      <c r="E15" s="1171">
        <v>6</v>
      </c>
      <c r="F15" s="1171">
        <v>27</v>
      </c>
      <c r="G15" s="1171">
        <v>16</v>
      </c>
      <c r="H15" s="1171">
        <v>12</v>
      </c>
      <c r="I15" s="1171">
        <v>32</v>
      </c>
      <c r="J15" s="1171">
        <v>41</v>
      </c>
      <c r="K15" s="1171">
        <v>41</v>
      </c>
      <c r="L15" s="1171">
        <v>89</v>
      </c>
      <c r="M15" s="516">
        <v>3</v>
      </c>
      <c r="N15" s="516">
        <v>8</v>
      </c>
      <c r="O15" s="516">
        <v>8</v>
      </c>
      <c r="P15" s="516">
        <v>8</v>
      </c>
      <c r="Q15" s="242">
        <v>25</v>
      </c>
      <c r="R15" s="516">
        <v>14</v>
      </c>
      <c r="S15" s="241">
        <v>8</v>
      </c>
      <c r="T15" s="241">
        <v>8</v>
      </c>
      <c r="U15" s="241">
        <v>8</v>
      </c>
      <c r="V15" s="241">
        <v>8</v>
      </c>
      <c r="W15" s="1171">
        <v>8</v>
      </c>
      <c r="X15" s="1171">
        <v>8</v>
      </c>
      <c r="Y15" s="1171">
        <v>8</v>
      </c>
      <c r="Z15" s="1171">
        <v>8</v>
      </c>
      <c r="AA15" s="1171">
        <v>8</v>
      </c>
      <c r="AB15" s="1171">
        <v>8</v>
      </c>
      <c r="AC15" s="1171">
        <v>8</v>
      </c>
      <c r="AD15" s="1171">
        <v>8</v>
      </c>
      <c r="AE15" s="1171">
        <v>8</v>
      </c>
      <c r="AF15" s="1171">
        <v>8</v>
      </c>
      <c r="AG15" s="1171">
        <v>8</v>
      </c>
      <c r="AH15" s="1171">
        <v>8</v>
      </c>
      <c r="AI15" s="1171">
        <v>8</v>
      </c>
      <c r="AJ15" s="1171">
        <v>8</v>
      </c>
      <c r="AK15" s="1171">
        <v>8</v>
      </c>
      <c r="AL15" s="1171">
        <v>8</v>
      </c>
      <c r="AM15" s="1171">
        <v>8</v>
      </c>
      <c r="AN15" s="1171">
        <v>8</v>
      </c>
      <c r="AO15" s="1171">
        <v>8</v>
      </c>
      <c r="AP15" s="1171">
        <v>8</v>
      </c>
      <c r="AQ15" s="1171">
        <v>8</v>
      </c>
      <c r="AR15" s="1171">
        <v>8</v>
      </c>
      <c r="AS15" s="1171">
        <v>8</v>
      </c>
      <c r="AT15" s="1171">
        <v>8</v>
      </c>
      <c r="AU15" s="1171">
        <v>8</v>
      </c>
      <c r="AV15" s="1171">
        <v>8</v>
      </c>
      <c r="AW15" s="1171">
        <v>8</v>
      </c>
      <c r="AX15" s="1171">
        <v>8</v>
      </c>
      <c r="AY15" s="1171">
        <v>8</v>
      </c>
      <c r="AZ15" s="1171">
        <v>8</v>
      </c>
      <c r="BA15" s="1171">
        <v>8</v>
      </c>
      <c r="BB15" s="1171">
        <v>8</v>
      </c>
      <c r="BC15" s="1171">
        <v>8</v>
      </c>
      <c r="BD15" s="1171">
        <v>8</v>
      </c>
      <c r="BE15" s="1171">
        <v>8</v>
      </c>
      <c r="BF15" s="1171">
        <v>8</v>
      </c>
      <c r="BG15" s="1171">
        <v>8</v>
      </c>
      <c r="BH15" s="1171">
        <v>8</v>
      </c>
      <c r="BI15" s="1171">
        <v>8</v>
      </c>
      <c r="BJ15" s="1171">
        <v>8</v>
      </c>
      <c r="BK15" s="1171">
        <v>8</v>
      </c>
      <c r="BL15" s="1171">
        <v>8</v>
      </c>
      <c r="BM15" s="1171">
        <v>8</v>
      </c>
      <c r="BN15" s="1171">
        <v>8</v>
      </c>
      <c r="BO15" s="1171">
        <v>8</v>
      </c>
      <c r="BP15" s="1171">
        <v>8</v>
      </c>
      <c r="BQ15" s="1171">
        <v>8</v>
      </c>
      <c r="BR15" s="1171">
        <v>8</v>
      </c>
      <c r="BS15" s="1171">
        <v>8</v>
      </c>
      <c r="BT15" s="1171">
        <v>8</v>
      </c>
      <c r="BU15" s="1171">
        <v>8</v>
      </c>
      <c r="BV15" s="1171">
        <v>8</v>
      </c>
      <c r="BW15" s="1171">
        <v>8</v>
      </c>
      <c r="BX15" s="1171">
        <v>8</v>
      </c>
      <c r="BY15" s="1171">
        <v>8</v>
      </c>
      <c r="BZ15" s="1171">
        <v>8</v>
      </c>
      <c r="CA15" s="1171">
        <v>8</v>
      </c>
      <c r="CB15" s="1171">
        <v>8</v>
      </c>
      <c r="CC15" s="1171">
        <v>8</v>
      </c>
      <c r="CD15" s="1171">
        <v>8</v>
      </c>
      <c r="CE15" s="1171">
        <v>8</v>
      </c>
      <c r="CF15" s="1171">
        <v>8</v>
      </c>
      <c r="CG15" s="1171">
        <v>8</v>
      </c>
      <c r="CH15" s="1171">
        <v>8</v>
      </c>
      <c r="CI15" s="1171">
        <v>8</v>
      </c>
      <c r="CJ15" s="1171">
        <v>8</v>
      </c>
      <c r="CK15" s="1171">
        <v>8</v>
      </c>
      <c r="CL15" s="1171">
        <v>8</v>
      </c>
      <c r="CM15" s="1171">
        <v>8</v>
      </c>
      <c r="CN15" s="1171">
        <v>8</v>
      </c>
      <c r="CO15" s="1171">
        <v>8</v>
      </c>
      <c r="CP15" s="1171">
        <v>8</v>
      </c>
      <c r="CQ15" s="1171">
        <v>8</v>
      </c>
      <c r="CR15" s="1171">
        <v>8</v>
      </c>
      <c r="CS15" s="1171">
        <v>8</v>
      </c>
      <c r="CT15" s="1171">
        <v>8</v>
      </c>
      <c r="CU15" s="1171">
        <v>8</v>
      </c>
      <c r="CV15" s="1171">
        <v>8</v>
      </c>
      <c r="CW15" s="1171">
        <v>8</v>
      </c>
      <c r="CX15" s="1171">
        <v>8</v>
      </c>
      <c r="CY15" s="1171">
        <v>8</v>
      </c>
      <c r="CZ15" s="1171">
        <v>8</v>
      </c>
      <c r="DA15" s="1171">
        <v>8</v>
      </c>
      <c r="DB15" s="1171">
        <v>8</v>
      </c>
      <c r="DC15" s="1171">
        <v>8</v>
      </c>
      <c r="DD15" s="1171">
        <v>8</v>
      </c>
      <c r="DE15" s="1171">
        <v>8</v>
      </c>
      <c r="DF15" s="1171">
        <v>8</v>
      </c>
      <c r="DG15" s="1171">
        <v>8</v>
      </c>
      <c r="DH15" s="1171">
        <v>8</v>
      </c>
      <c r="DI15" s="1171">
        <v>8</v>
      </c>
      <c r="DJ15" s="1171">
        <v>8</v>
      </c>
      <c r="DK15" s="1171">
        <v>8</v>
      </c>
      <c r="DL15" s="1171">
        <v>8</v>
      </c>
      <c r="DM15" s="1171">
        <v>8</v>
      </c>
      <c r="DN15" s="1171">
        <v>8</v>
      </c>
      <c r="DO15" s="1171">
        <v>8</v>
      </c>
      <c r="DP15" s="1171">
        <v>8</v>
      </c>
      <c r="DQ15" s="1171">
        <v>8</v>
      </c>
      <c r="DR15" s="1171">
        <v>8</v>
      </c>
      <c r="DS15" s="1171">
        <v>8</v>
      </c>
      <c r="DT15" s="1171">
        <v>8</v>
      </c>
      <c r="DU15" s="1171">
        <v>8</v>
      </c>
      <c r="DV15" s="1171">
        <v>8</v>
      </c>
      <c r="DW15" s="1171">
        <v>8</v>
      </c>
      <c r="DX15" s="1171">
        <v>8</v>
      </c>
      <c r="DY15" s="1171">
        <v>8</v>
      </c>
      <c r="DZ15" s="1171">
        <v>8</v>
      </c>
      <c r="EA15" s="1171">
        <v>8</v>
      </c>
      <c r="EB15" s="1171">
        <v>8</v>
      </c>
      <c r="EC15" s="1171">
        <v>8</v>
      </c>
      <c r="ED15" s="1171">
        <v>8</v>
      </c>
      <c r="EE15" s="1171">
        <v>8</v>
      </c>
      <c r="EF15" s="1171">
        <v>8</v>
      </c>
      <c r="EG15" s="1171">
        <v>8</v>
      </c>
      <c r="EH15" s="1171">
        <v>8</v>
      </c>
      <c r="EI15" s="1171">
        <v>8</v>
      </c>
      <c r="EJ15" s="1171">
        <v>8</v>
      </c>
      <c r="EK15" s="1171">
        <v>8</v>
      </c>
      <c r="EL15" s="1171">
        <v>8</v>
      </c>
      <c r="EM15" s="1171">
        <v>8</v>
      </c>
      <c r="EN15" s="1171">
        <v>8</v>
      </c>
      <c r="EO15" s="1171">
        <v>8</v>
      </c>
      <c r="EP15" s="1171">
        <v>8</v>
      </c>
      <c r="EQ15" s="1171">
        <v>8</v>
      </c>
      <c r="ER15" s="1171">
        <v>8</v>
      </c>
      <c r="ES15" s="1171">
        <v>8</v>
      </c>
      <c r="ET15" s="1171">
        <v>8</v>
      </c>
      <c r="EU15" s="1171">
        <v>8</v>
      </c>
      <c r="EV15" s="1171">
        <v>8</v>
      </c>
      <c r="EW15" s="1171">
        <v>8</v>
      </c>
      <c r="EX15" s="1171">
        <v>8</v>
      </c>
      <c r="EY15" s="1171">
        <v>8</v>
      </c>
      <c r="EZ15" s="1171">
        <v>8</v>
      </c>
      <c r="FA15" s="1171">
        <v>8</v>
      </c>
      <c r="FB15" s="1171">
        <v>8</v>
      </c>
      <c r="FC15" s="1171">
        <v>8</v>
      </c>
      <c r="FD15" s="1171">
        <v>8</v>
      </c>
      <c r="FE15" s="1171">
        <v>8</v>
      </c>
      <c r="FF15" s="1171">
        <v>8</v>
      </c>
      <c r="FG15" s="1171">
        <v>8</v>
      </c>
      <c r="FH15" s="1171">
        <v>8</v>
      </c>
      <c r="FI15" s="1171">
        <v>8</v>
      </c>
      <c r="FJ15" s="1171">
        <v>8</v>
      </c>
      <c r="FK15" s="1171">
        <v>8</v>
      </c>
      <c r="FL15" s="1171">
        <v>8</v>
      </c>
      <c r="FM15" s="1171">
        <v>8</v>
      </c>
      <c r="FN15" s="1171">
        <v>8</v>
      </c>
      <c r="FO15" s="1171">
        <v>8</v>
      </c>
      <c r="FP15" s="1171">
        <v>8</v>
      </c>
      <c r="FQ15" s="1171">
        <v>8</v>
      </c>
      <c r="FR15" s="1171">
        <v>8</v>
      </c>
      <c r="FS15" s="1171">
        <v>8</v>
      </c>
      <c r="FT15" s="1171">
        <v>8</v>
      </c>
      <c r="FU15" s="1171">
        <v>8</v>
      </c>
      <c r="FV15" s="1171">
        <v>8</v>
      </c>
      <c r="FW15" s="1171">
        <v>8</v>
      </c>
      <c r="FX15" s="1171">
        <v>8</v>
      </c>
      <c r="FY15" s="1171">
        <v>8</v>
      </c>
      <c r="FZ15" s="1171">
        <v>8</v>
      </c>
      <c r="GA15" s="1171">
        <v>8</v>
      </c>
      <c r="GB15" s="1171">
        <v>8</v>
      </c>
      <c r="GC15" s="1171">
        <v>8</v>
      </c>
      <c r="GD15" s="1171">
        <v>8</v>
      </c>
      <c r="GE15" s="1171">
        <v>8</v>
      </c>
      <c r="GF15" s="1171">
        <v>8</v>
      </c>
      <c r="GG15" s="1171">
        <v>8</v>
      </c>
      <c r="GH15" s="1171">
        <v>8</v>
      </c>
      <c r="GI15" s="1171">
        <v>8</v>
      </c>
      <c r="GJ15" s="1171">
        <v>8</v>
      </c>
      <c r="GK15" s="1171">
        <v>8</v>
      </c>
      <c r="GL15" s="1171">
        <v>8</v>
      </c>
      <c r="GM15" s="1171">
        <v>8</v>
      </c>
      <c r="GN15" s="1171">
        <v>8</v>
      </c>
      <c r="GO15" s="1171">
        <v>8</v>
      </c>
      <c r="GP15" s="1171">
        <v>8</v>
      </c>
      <c r="GQ15" s="1171">
        <v>8</v>
      </c>
      <c r="GR15" s="1171">
        <v>8</v>
      </c>
      <c r="GS15" s="1171">
        <v>8</v>
      </c>
      <c r="GT15" s="1171">
        <v>8</v>
      </c>
      <c r="GU15" s="1171">
        <v>8</v>
      </c>
      <c r="GV15" s="1171">
        <v>8</v>
      </c>
      <c r="GW15" s="1171">
        <v>8</v>
      </c>
      <c r="GX15" s="1171">
        <v>8</v>
      </c>
      <c r="GY15" s="1171">
        <v>8</v>
      </c>
      <c r="GZ15" s="1171">
        <v>8</v>
      </c>
      <c r="HA15" s="1171">
        <v>8</v>
      </c>
      <c r="HB15" s="1171">
        <v>8</v>
      </c>
      <c r="HC15" s="1171">
        <v>8</v>
      </c>
      <c r="HD15" s="1171">
        <v>8</v>
      </c>
      <c r="HE15" s="1171">
        <v>8</v>
      </c>
      <c r="HF15" s="1171">
        <v>8</v>
      </c>
      <c r="HG15" s="1171">
        <v>8</v>
      </c>
      <c r="HH15" s="1171">
        <v>8</v>
      </c>
      <c r="HI15" s="1171">
        <v>8</v>
      </c>
      <c r="HJ15" s="1171">
        <v>8</v>
      </c>
      <c r="HK15" s="1171">
        <v>8</v>
      </c>
      <c r="HL15" s="1171">
        <v>8</v>
      </c>
      <c r="HM15" s="1171">
        <v>8</v>
      </c>
      <c r="HN15" s="1171">
        <v>8</v>
      </c>
      <c r="HO15" s="1171">
        <v>8</v>
      </c>
      <c r="HP15" s="1171">
        <v>8</v>
      </c>
      <c r="HQ15" s="1171">
        <v>8</v>
      </c>
      <c r="HR15" s="1171">
        <v>8</v>
      </c>
      <c r="HS15" s="1171">
        <v>8</v>
      </c>
      <c r="HT15" s="1171">
        <v>8</v>
      </c>
      <c r="HU15" s="1171">
        <v>8</v>
      </c>
      <c r="HV15" s="1171">
        <v>8</v>
      </c>
      <c r="HW15" s="1171">
        <v>8</v>
      </c>
      <c r="HX15" s="1171">
        <v>8</v>
      </c>
      <c r="HY15" s="1171">
        <v>8</v>
      </c>
      <c r="HZ15" s="1171">
        <v>8</v>
      </c>
      <c r="IA15" s="1171">
        <v>8</v>
      </c>
      <c r="IB15" s="1171">
        <v>8</v>
      </c>
      <c r="IC15" s="1171">
        <v>8</v>
      </c>
      <c r="ID15" s="1171">
        <v>8</v>
      </c>
      <c r="IE15" s="1171">
        <v>8</v>
      </c>
      <c r="IF15" s="1171">
        <v>8</v>
      </c>
      <c r="IG15" s="1171">
        <v>8</v>
      </c>
      <c r="IH15" s="1171">
        <v>8</v>
      </c>
      <c r="II15" s="1171">
        <v>8</v>
      </c>
      <c r="IJ15" s="1171">
        <v>8</v>
      </c>
      <c r="IK15" s="1171">
        <v>8</v>
      </c>
      <c r="IL15" s="1171">
        <v>8</v>
      </c>
      <c r="IM15" s="1171">
        <v>8</v>
      </c>
      <c r="IN15" s="1171">
        <v>8</v>
      </c>
      <c r="IO15" s="1171">
        <v>8</v>
      </c>
      <c r="IP15" s="1171">
        <v>8</v>
      </c>
      <c r="IQ15" s="1171">
        <v>8</v>
      </c>
      <c r="IR15" s="1171">
        <v>8</v>
      </c>
      <c r="IS15" s="1171">
        <v>8</v>
      </c>
      <c r="IT15" s="1171">
        <v>8</v>
      </c>
      <c r="IU15" s="1171">
        <v>8</v>
      </c>
      <c r="IV15" s="1171">
        <v>8</v>
      </c>
      <c r="IW15" s="117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BF48C-6561-239C-1369-5C145AA893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51" width="9.140625" hidden="1"/>
    <col min="2" max="2" style="1382" width="9.140625" hidden="1"/>
    <col min="3" max="3" style="1651" width="3.7109375" hidden="1" customWidth="1"/>
    <col min="4" max="4" style="1858" width="3.00390625" customWidth="1"/>
    <col min="5" max="5" style="1651" width="6.00390625" customWidth="1"/>
    <col min="6" max="6" style="1651" width="27.00390625" customWidth="1"/>
    <col min="7" max="7" style="1651" width="16.00390625" customWidth="1"/>
    <col min="8" max="8" style="1651" width="12.00390625" customWidth="1"/>
    <col min="9" max="9" style="1651" width="32.00390625" customWidth="1"/>
    <col min="10" max="11" style="1651" width="41.00390625" customWidth="1"/>
    <col min="12" max="12" style="1651" width="89.00390625" customWidth="1"/>
    <col min="13" max="13" style="1640" width="3.00390625" customWidth="1"/>
    <col min="14" max="16" style="1640" width="8.00390625" customWidth="1"/>
    <col min="17" max="17" style="1640" width="25.00390625" customWidth="1"/>
    <col min="18" max="18" style="1640" width="14.00390625" customWidth="1"/>
    <col min="19" max="22" style="241" width="8.00390625" customWidth="1"/>
    <col min="23" max="256" style="1651" width="8.00390625" customWidth="1"/>
    <col min="257" max="257" style="1651" width="9.140625" hidden="1"/>
  </cols>
  <sheetData>
    <row customHeight="1" ht="22.5" hidden="1">
      <c r="IW1" s="1647" t="s">
        <v>14</v>
      </c>
    </row>
    <row s="1866" customFormat="1" customHeight="1" ht="22.5" hidden="1">
      <c r="A2" s="847"/>
      <c r="B2" s="1382">
        <v>1</v>
      </c>
      <c r="C2" s="1382"/>
      <c r="D2" s="1944" t="s">
        <v>108</v>
      </c>
      <c r="E2" s="1920"/>
      <c r="F2" s="1922" t="str">
        <f>IF(ROIV_INFO_NAME="","",ROIV_INFO_NAME)</f>
        <v>КГУП "Примтеплоэнерго"</v>
      </c>
      <c r="G2" s="1748" t="s">
        <v>28</v>
      </c>
      <c r="H2" s="1932"/>
      <c r="I2" s="1554"/>
      <c r="J2" s="834"/>
      <c r="K2" s="834"/>
      <c r="L2" s="244"/>
      <c r="M2" s="1551">
        <f>MERGEVALUE(F2)</f>
      </c>
      <c r="N2" s="1652"/>
      <c r="O2" s="1652"/>
      <c r="P2" s="1640" t="str">
        <f t="array" ref="P2:P2">IF(ISERROR(MATCH(MID(Q2,1,250),MID(note_ter,1,250),0)),"n","y")</f>
        <v>n</v>
      </c>
      <c r="Q2" s="1652"/>
      <c r="R2" s="1640" t="str">
        <f>G2&amp;"("&amp;L2&amp;")"</f>
        <v>()</v>
      </c>
      <c r="S2" s="1382"/>
      <c r="T2" s="1382"/>
      <c r="U2" s="436"/>
      <c r="V2" s="1382"/>
      <c r="W2" s="1382"/>
      <c r="X2" s="1382"/>
      <c r="Y2" s="849"/>
      <c r="Z2" s="849"/>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3"/>
      <c r="BQ2" s="643"/>
      <c r="BR2" s="643"/>
      <c r="BS2" s="643"/>
      <c r="BT2" s="643"/>
      <c r="BU2" s="643"/>
      <c r="BV2" s="849"/>
      <c r="BW2" s="849"/>
      <c r="BX2" s="849"/>
      <c r="BY2" s="849"/>
      <c r="BZ2" s="849"/>
      <c r="CA2" s="849"/>
      <c r="CB2" s="849"/>
      <c r="CC2" s="849"/>
      <c r="CD2" s="849"/>
      <c r="CE2" s="849"/>
      <c r="IW2" s="640">
        <v>0</v>
      </c>
    </row>
    <row s="1658" customFormat="1" customHeight="1" ht="5.25" hidden="1">
      <c r="A3" s="1657"/>
      <c r="D3" s="1909"/>
      <c r="F3" s="264" t="s">
        <v>86</v>
      </c>
      <c r="G3" s="1751" t="s">
        <v>87</v>
      </c>
      <c r="H3" s="1909"/>
      <c r="I3" s="1909"/>
      <c r="J3" s="1909"/>
      <c r="K3" s="1909"/>
      <c r="L3" s="243" t="s">
        <v>88</v>
      </c>
      <c r="M3" s="264" t="s">
        <v>86</v>
      </c>
      <c r="N3" s="264"/>
      <c r="O3" s="264"/>
      <c r="P3" s="264"/>
      <c r="Q3" s="264"/>
      <c r="R3" s="264"/>
      <c r="S3" s="264"/>
      <c r="T3" s="264"/>
      <c r="U3" s="264"/>
      <c r="V3" s="264"/>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3"/>
      <c r="EB3" s="243"/>
      <c r="EC3" s="243"/>
      <c r="ED3" s="243"/>
      <c r="EE3" s="243"/>
      <c r="EF3" s="243"/>
      <c r="EG3" s="243"/>
      <c r="EH3" s="243"/>
      <c r="EI3" s="243"/>
      <c r="EJ3" s="243"/>
      <c r="EK3" s="243"/>
      <c r="EL3" s="243"/>
      <c r="EM3" s="243"/>
      <c r="EN3" s="243"/>
      <c r="EO3" s="243"/>
      <c r="EP3" s="243"/>
      <c r="EQ3" s="243"/>
      <c r="ER3" s="243"/>
      <c r="ES3" s="243"/>
      <c r="ET3" s="243"/>
      <c r="EU3" s="243"/>
      <c r="EV3" s="243"/>
      <c r="EW3" s="243"/>
      <c r="EX3" s="243"/>
      <c r="EY3" s="243"/>
      <c r="EZ3" s="243"/>
      <c r="FA3" s="243"/>
      <c r="FB3" s="243"/>
      <c r="FC3" s="243"/>
      <c r="FD3" s="243"/>
      <c r="FE3" s="243"/>
      <c r="FF3" s="243"/>
      <c r="FG3" s="243"/>
      <c r="FH3" s="243"/>
      <c r="FI3" s="243"/>
      <c r="FJ3" s="243"/>
      <c r="FK3" s="243"/>
      <c r="FL3" s="243"/>
      <c r="FM3" s="243"/>
      <c r="FN3" s="243"/>
      <c r="FO3" s="243"/>
      <c r="FP3" s="243"/>
      <c r="FQ3" s="243"/>
      <c r="FR3" s="243"/>
      <c r="FS3" s="243"/>
      <c r="FT3" s="243"/>
      <c r="FU3" s="243"/>
      <c r="FV3" s="243"/>
      <c r="FW3" s="243"/>
      <c r="FX3" s="243"/>
      <c r="FY3" s="243"/>
      <c r="FZ3" s="243"/>
      <c r="GA3" s="243"/>
      <c r="GB3" s="243"/>
      <c r="GC3" s="243"/>
      <c r="GD3" s="243"/>
      <c r="GE3" s="243"/>
      <c r="GF3" s="243"/>
      <c r="GG3" s="243"/>
      <c r="GH3" s="243"/>
      <c r="GI3" s="243"/>
      <c r="GJ3" s="243"/>
      <c r="GK3" s="243"/>
      <c r="GL3" s="243"/>
      <c r="GM3" s="243"/>
      <c r="GN3" s="243"/>
      <c r="GO3" s="243"/>
      <c r="GP3" s="243"/>
      <c r="GQ3" s="243"/>
      <c r="GR3" s="243"/>
      <c r="GS3" s="243"/>
      <c r="GT3" s="243"/>
      <c r="GU3" s="243"/>
      <c r="GV3" s="243"/>
      <c r="GW3" s="243"/>
      <c r="GX3" s="243"/>
      <c r="GY3" s="243"/>
      <c r="GZ3" s="243"/>
      <c r="HA3" s="243"/>
      <c r="HB3" s="243"/>
      <c r="HC3" s="243"/>
      <c r="HD3" s="243"/>
      <c r="HE3" s="243"/>
      <c r="HF3" s="243"/>
      <c r="HG3" s="243"/>
      <c r="HH3" s="243"/>
      <c r="HI3" s="243"/>
      <c r="HJ3" s="243"/>
      <c r="HK3" s="243"/>
      <c r="HL3" s="243"/>
      <c r="HM3" s="243"/>
      <c r="HN3" s="243"/>
      <c r="HO3" s="243"/>
      <c r="HP3" s="243"/>
      <c r="HQ3" s="243"/>
      <c r="HR3" s="243"/>
      <c r="HS3" s="243"/>
      <c r="HT3" s="243"/>
      <c r="HU3" s="243"/>
      <c r="HV3" s="243"/>
      <c r="HW3" s="243"/>
      <c r="HX3" s="243"/>
      <c r="HY3" s="243"/>
      <c r="HZ3" s="243"/>
      <c r="IA3" s="243"/>
      <c r="IB3" s="243"/>
      <c r="IC3" s="243"/>
      <c r="ID3" s="243"/>
      <c r="IE3" s="243"/>
      <c r="IF3" s="243"/>
      <c r="IG3" s="243"/>
      <c r="IH3" s="243"/>
      <c r="II3" s="243"/>
      <c r="IJ3" s="243"/>
      <c r="IK3" s="243"/>
      <c r="IL3" s="243"/>
      <c r="IM3" s="243"/>
      <c r="IN3" s="243"/>
      <c r="IO3" s="243"/>
      <c r="IP3" s="243"/>
      <c r="IQ3" s="243"/>
      <c r="IR3" s="243"/>
      <c r="IS3" s="243"/>
      <c r="IT3" s="243"/>
      <c r="IU3" s="243"/>
      <c r="IV3" s="243"/>
      <c r="IW3" s="1652">
        <v>0</v>
      </c>
    </row>
    <row s="1835" customFormat="1" customHeight="1" ht="14.699999999999998">
      <c r="A4" s="1647"/>
      <c r="B4" s="1382"/>
      <c r="C4" s="1647"/>
      <c r="D4" s="1531"/>
      <c r="E4" s="1651"/>
      <c r="F4" s="1651"/>
      <c r="G4" s="1651"/>
      <c r="H4" s="1651"/>
      <c r="I4" s="1651"/>
      <c r="J4" s="1651"/>
      <c r="K4" s="1651"/>
      <c r="L4" s="1911"/>
      <c r="M4" s="264"/>
      <c r="N4" s="1640"/>
      <c r="O4" s="1640"/>
      <c r="P4" s="1640"/>
      <c r="Q4" s="1640"/>
      <c r="R4" s="1640"/>
      <c r="S4" s="241"/>
      <c r="T4" s="241"/>
      <c r="U4" s="241"/>
      <c r="V4" s="241"/>
      <c r="IW4" s="1625">
        <v>14</v>
      </c>
    </row>
    <row s="1835" customFormat="1" customHeight="1" ht="27.299999999999997">
      <c r="A5" s="1647"/>
      <c r="B5" s="1382"/>
      <c r="C5" s="1647"/>
      <c r="D5" s="1531"/>
      <c r="E5" s="211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6"/>
      <c r="G5" s="2116"/>
      <c r="H5" s="2116"/>
      <c r="I5" s="2116"/>
      <c r="J5" s="2116"/>
      <c r="K5" s="2116"/>
      <c r="L5" s="1651"/>
      <c r="M5" s="264"/>
      <c r="N5" s="1640"/>
      <c r="O5" s="1640"/>
      <c r="P5" s="1640"/>
      <c r="Q5" s="1640"/>
      <c r="R5" s="1640"/>
      <c r="S5" s="241"/>
      <c r="T5" s="241"/>
      <c r="U5" s="241"/>
      <c r="V5" s="241"/>
      <c r="IW5" s="1625">
        <v>26</v>
      </c>
    </row>
    <row s="1835" customFormat="1" customHeight="1" ht="14.699999999999998">
      <c r="A6" s="1647"/>
      <c r="B6" s="1382"/>
      <c r="C6" s="1647"/>
      <c r="D6" s="1531"/>
      <c r="E6" s="1651"/>
      <c r="F6" s="632"/>
      <c r="G6" s="632"/>
      <c r="H6" s="632"/>
      <c r="I6" s="632"/>
      <c r="J6" s="632"/>
      <c r="K6" s="632"/>
      <c r="L6" s="1268"/>
      <c r="M6" s="1640"/>
      <c r="N6" s="1640"/>
      <c r="O6" s="1640"/>
      <c r="P6" s="1640"/>
      <c r="Q6" s="1640"/>
      <c r="R6" s="1640"/>
      <c r="S6" s="241"/>
      <c r="T6" s="241"/>
      <c r="U6" s="241"/>
      <c r="V6" s="241"/>
      <c r="IW6" s="1625">
        <v>14</v>
      </c>
    </row>
    <row s="1835" customFormat="1" customHeight="1" ht="14.699999999999998">
      <c r="A7" s="1647"/>
      <c r="B7" s="1382"/>
      <c r="C7" s="1647"/>
      <c r="D7" s="1531"/>
      <c r="E7" s="2117" t="s">
        <v>453</v>
      </c>
      <c r="F7" s="2118"/>
      <c r="G7" s="2118"/>
      <c r="H7" s="2118"/>
      <c r="I7" s="2118"/>
      <c r="J7" s="2118"/>
      <c r="K7" s="2118"/>
      <c r="L7" s="2490" t="s">
        <v>454</v>
      </c>
      <c r="M7" s="1640"/>
      <c r="N7" s="1640"/>
      <c r="O7" s="1640"/>
      <c r="P7" s="1640"/>
      <c r="Q7" s="1640"/>
      <c r="R7" s="1640"/>
      <c r="S7" s="241"/>
      <c r="T7" s="241"/>
      <c r="U7" s="241"/>
      <c r="V7" s="241"/>
      <c r="IW7" s="1625">
        <v>14</v>
      </c>
    </row>
    <row s="1835" customFormat="1" customHeight="1" ht="67.2">
      <c r="A8" s="1647"/>
      <c r="B8" s="1382"/>
      <c r="C8" s="1647"/>
      <c r="D8" s="1531"/>
      <c r="E8" s="2494" t="s">
        <v>91</v>
      </c>
      <c r="F8" s="2494" t="s">
        <v>2024</v>
      </c>
      <c r="G8" s="2496" t="s">
        <v>2025</v>
      </c>
      <c r="H8" s="2497"/>
      <c r="I8" s="2498"/>
      <c r="J8" s="2494" t="s">
        <v>2026</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2"/>
      <c r="M8" s="1640"/>
      <c r="N8" s="1640"/>
      <c r="O8" s="1640"/>
      <c r="P8" s="1640"/>
      <c r="Q8" s="1640"/>
      <c r="R8" s="1640"/>
      <c r="S8" s="241"/>
      <c r="T8" s="241"/>
      <c r="U8" s="241"/>
      <c r="V8" s="241"/>
      <c r="IW8" s="1625">
        <v>64</v>
      </c>
    </row>
    <row s="1835" customFormat="1" customHeight="1" ht="29.25">
      <c r="A9" s="1647"/>
      <c r="B9" s="1382"/>
      <c r="C9" s="1647"/>
      <c r="D9" s="1531"/>
      <c r="E9" s="2495"/>
      <c r="F9" s="2495"/>
      <c r="G9" s="1910" t="s">
        <v>2020</v>
      </c>
      <c r="H9" s="1910" t="s">
        <v>2021</v>
      </c>
      <c r="I9" s="1910" t="s">
        <v>2022</v>
      </c>
      <c r="J9" s="2495"/>
      <c r="K9" s="2495"/>
      <c r="L9" s="2491"/>
      <c r="M9" s="1640"/>
      <c r="N9" s="1640"/>
      <c r="O9" s="1640"/>
      <c r="P9" s="1640"/>
      <c r="Q9" s="1640"/>
      <c r="R9" s="1640"/>
      <c r="S9" s="241"/>
      <c r="T9" s="241"/>
      <c r="U9" s="241"/>
      <c r="V9" s="241"/>
      <c r="IW9" s="1625">
        <v>28</v>
      </c>
    </row>
    <row s="1866" customFormat="1" customHeight="1" ht="1.05">
      <c r="A10" s="2115"/>
      <c r="B10" s="1382">
        <v>1</v>
      </c>
      <c r="C10" s="1382"/>
      <c r="D10" s="816"/>
      <c r="E10" s="811">
        <v>0</v>
      </c>
      <c r="F10" s="1907" t="str">
        <f>IF(ROIV_INFO_NAME="","",ROIV_INFO_NAME)</f>
        <v>КГУП "Примтеплоэнерго"</v>
      </c>
      <c r="G10" s="1749" t="s">
        <v>28</v>
      </c>
      <c r="H10" s="1919"/>
      <c r="I10" s="1919"/>
      <c r="J10" s="535"/>
      <c r="K10" s="535"/>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1">
        <f>MERGEVALUE(F10)</f>
      </c>
      <c r="N10" s="1652"/>
      <c r="O10" s="1652"/>
      <c r="P10" s="1640" t="str">
        <f t="array" ref="P10:P10">IF(ISERROR(MATCH(MID(Q10,1,250),MID(note_ter,1,250),0)),"n","y")</f>
        <v>n</v>
      </c>
      <c r="Q10" s="1652"/>
      <c r="R10" s="164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2"/>
      <c r="T10" s="1382"/>
      <c r="U10" s="436"/>
      <c r="V10" s="1382"/>
      <c r="W10" s="1382"/>
      <c r="X10" s="1382"/>
      <c r="Y10" s="849"/>
      <c r="Z10" s="849"/>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3"/>
      <c r="AX10" s="643"/>
      <c r="AY10" s="643"/>
      <c r="AZ10" s="643"/>
      <c r="BA10" s="643"/>
      <c r="BB10" s="643"/>
      <c r="BC10" s="643"/>
      <c r="BD10" s="643"/>
      <c r="BE10" s="643"/>
      <c r="BF10" s="643"/>
      <c r="BG10" s="643"/>
      <c r="BH10" s="643"/>
      <c r="BI10" s="643"/>
      <c r="BJ10" s="643"/>
      <c r="BK10" s="643"/>
      <c r="BL10" s="643"/>
      <c r="BM10" s="643"/>
      <c r="BN10" s="643"/>
      <c r="BO10" s="643"/>
      <c r="BP10" s="643"/>
      <c r="BQ10" s="643"/>
      <c r="BR10" s="643"/>
      <c r="BS10" s="643"/>
      <c r="BT10" s="643"/>
      <c r="BU10" s="643"/>
      <c r="BV10" s="849"/>
      <c r="BW10" s="849"/>
      <c r="BX10" s="849"/>
      <c r="BY10" s="849"/>
      <c r="BZ10" s="849"/>
      <c r="CA10" s="849"/>
      <c r="CB10" s="849"/>
      <c r="CC10" s="849"/>
      <c r="CD10" s="849"/>
      <c r="CE10" s="849"/>
      <c r="IW10" s="640">
        <v>1</v>
      </c>
    </row>
    <row s="1866" customFormat="1" customHeight="1" ht="15.75">
      <c r="A11" s="2115"/>
      <c r="B11" s="1382"/>
      <c r="C11" s="428"/>
      <c r="D11" s="817"/>
      <c r="E11" s="437"/>
      <c r="F11" s="667" t="s">
        <v>2023</v>
      </c>
      <c r="G11" s="203"/>
      <c r="H11" s="203"/>
      <c r="I11" s="203"/>
      <c r="J11" s="203"/>
      <c r="K11" s="440"/>
      <c r="L11" s="2493"/>
      <c r="M11" s="1552"/>
      <c r="N11" s="1652"/>
      <c r="O11" s="1652"/>
      <c r="P11" s="1652"/>
      <c r="Q11" s="1640"/>
      <c r="R11" s="1652"/>
      <c r="S11" s="1382"/>
      <c r="T11" s="1382"/>
      <c r="U11" s="436"/>
      <c r="V11" s="1382"/>
      <c r="W11" s="1382"/>
      <c r="X11" s="1382"/>
      <c r="Y11" s="849"/>
      <c r="Z11" s="849"/>
      <c r="AA11" s="643"/>
      <c r="AB11" s="643"/>
      <c r="AC11" s="643"/>
      <c r="AD11" s="643"/>
      <c r="AE11" s="643"/>
      <c r="AF11" s="643"/>
      <c r="AG11" s="643"/>
      <c r="AH11" s="643"/>
      <c r="AI11" s="643"/>
      <c r="AJ11" s="643"/>
      <c r="AK11" s="643"/>
      <c r="AL11" s="643"/>
      <c r="AM11" s="643"/>
      <c r="AN11" s="643"/>
      <c r="AO11" s="643"/>
      <c r="AP11" s="643"/>
      <c r="AQ11" s="643"/>
      <c r="AR11" s="643"/>
      <c r="AS11" s="643"/>
      <c r="AT11" s="643"/>
      <c r="AU11" s="643"/>
      <c r="AV11" s="643"/>
      <c r="AW11" s="643"/>
      <c r="AX11" s="643"/>
      <c r="AY11" s="643"/>
      <c r="AZ11" s="643"/>
      <c r="BA11" s="643"/>
      <c r="BB11" s="643"/>
      <c r="BC11" s="643"/>
      <c r="BD11" s="643"/>
      <c r="BE11" s="643"/>
      <c r="BF11" s="643"/>
      <c r="BG11" s="643"/>
      <c r="BH11" s="643"/>
      <c r="BI11" s="643"/>
      <c r="BJ11" s="643"/>
      <c r="BK11" s="643"/>
      <c r="BL11" s="643"/>
      <c r="BM11" s="643"/>
      <c r="BN11" s="643"/>
      <c r="BO11" s="643"/>
      <c r="BP11" s="643"/>
      <c r="BQ11" s="643"/>
      <c r="BR11" s="643"/>
      <c r="BS11" s="643"/>
      <c r="BT11" s="643"/>
      <c r="BU11" s="643"/>
      <c r="BV11" s="849"/>
      <c r="BW11" s="849"/>
      <c r="BX11" s="849"/>
      <c r="BY11" s="849"/>
      <c r="BZ11" s="849"/>
      <c r="CA11" s="849"/>
      <c r="CB11" s="849"/>
      <c r="CC11" s="849"/>
      <c r="CD11" s="849"/>
      <c r="CE11" s="849"/>
      <c r="IW11" s="640">
        <v>15</v>
      </c>
    </row>
    <row s="1835" customFormat="1" customHeight="1" ht="22.049999999999997">
      <c r="A12" s="1647"/>
      <c r="B12" s="1382"/>
      <c r="C12" s="1647"/>
      <c r="D12" s="1649"/>
      <c r="E12" s="196"/>
      <c r="F12" s="196"/>
      <c r="G12" s="196"/>
      <c r="H12" s="196"/>
      <c r="I12" s="196"/>
      <c r="J12" s="196"/>
      <c r="K12" s="196"/>
      <c r="L12" s="196"/>
      <c r="M12" s="1640"/>
      <c r="N12" s="1640"/>
      <c r="O12" s="1640"/>
      <c r="P12" s="1640"/>
      <c r="Q12" s="1640"/>
      <c r="R12" s="1640"/>
      <c r="S12" s="241"/>
      <c r="T12" s="241"/>
      <c r="U12" s="241"/>
      <c r="V12" s="241"/>
      <c r="IW12" s="1625">
        <v>21</v>
      </c>
    </row>
    <row s="1835" customFormat="1" customHeight="1" ht="14.699999999999998">
      <c r="A13" s="1647"/>
      <c r="B13" s="1382"/>
      <c r="C13" s="1647"/>
      <c r="D13" s="1649"/>
      <c r="E13" s="1647"/>
      <c r="F13" s="1647"/>
      <c r="G13" s="1647"/>
      <c r="H13" s="1647"/>
      <c r="I13" s="1647"/>
      <c r="J13" s="1647"/>
      <c r="K13" s="1647"/>
      <c r="L13" s="1647"/>
      <c r="M13" s="1640"/>
      <c r="N13" s="1640"/>
      <c r="O13" s="1640"/>
      <c r="P13" s="1640"/>
      <c r="Q13" s="1640"/>
      <c r="R13" s="1640"/>
      <c r="S13" s="241"/>
      <c r="T13" s="241"/>
      <c r="U13" s="241"/>
      <c r="V13" s="241"/>
      <c r="IW13" s="1625">
        <v>14</v>
      </c>
    </row>
    <row s="1835" customFormat="1" customHeight="1" ht="1.05">
      <c r="A14" s="1647"/>
      <c r="B14" s="1382"/>
      <c r="C14" s="1647"/>
      <c r="D14" s="1649"/>
      <c r="E14" s="1647"/>
      <c r="F14" s="1647"/>
      <c r="G14" s="1647"/>
      <c r="H14" s="1647"/>
      <c r="I14" s="1647"/>
      <c r="J14" s="1647"/>
      <c r="K14" s="1647"/>
      <c r="L14" s="1647"/>
      <c r="M14" s="1640"/>
      <c r="N14" s="1640"/>
      <c r="O14" s="1640"/>
      <c r="P14" s="1640"/>
      <c r="Q14" s="1640"/>
      <c r="R14" s="1640"/>
      <c r="S14" s="241"/>
      <c r="T14" s="241"/>
      <c r="U14" s="241"/>
      <c r="V14" s="241"/>
      <c r="IW14" s="1625">
        <v>1</v>
      </c>
    </row>
    <row customHeight="1" ht="22.5" hidden="1">
      <c r="A15" s="1647" t="s">
        <v>85</v>
      </c>
      <c r="B15" s="1382">
        <v>0</v>
      </c>
      <c r="C15" s="1647">
        <v>0</v>
      </c>
      <c r="D15" s="1649">
        <v>3</v>
      </c>
      <c r="E15" s="1647">
        <v>6</v>
      </c>
      <c r="F15" s="1647">
        <v>27</v>
      </c>
      <c r="G15" s="1647">
        <v>16</v>
      </c>
      <c r="H15" s="1647">
        <v>12</v>
      </c>
      <c r="I15" s="1647">
        <v>32</v>
      </c>
      <c r="J15" s="1647">
        <v>41</v>
      </c>
      <c r="K15" s="1647">
        <v>41</v>
      </c>
      <c r="L15" s="1647">
        <v>89</v>
      </c>
      <c r="M15" s="1640">
        <v>3</v>
      </c>
      <c r="N15" s="1640">
        <v>8</v>
      </c>
      <c r="O15" s="1640">
        <v>8</v>
      </c>
      <c r="P15" s="1640">
        <v>8</v>
      </c>
      <c r="Q15" s="1640">
        <v>25</v>
      </c>
      <c r="R15" s="1640">
        <v>14</v>
      </c>
      <c r="S15" s="241">
        <v>8</v>
      </c>
      <c r="T15" s="241">
        <v>8</v>
      </c>
      <c r="U15" s="241">
        <v>8</v>
      </c>
      <c r="V15" s="241">
        <v>8</v>
      </c>
      <c r="W15" s="1647">
        <v>8</v>
      </c>
      <c r="X15" s="1647">
        <v>8</v>
      </c>
      <c r="Y15" s="1647">
        <v>8</v>
      </c>
      <c r="Z15" s="1647">
        <v>8</v>
      </c>
      <c r="AA15" s="1647">
        <v>8</v>
      </c>
      <c r="AB15" s="1647">
        <v>8</v>
      </c>
      <c r="AC15" s="1647">
        <v>8</v>
      </c>
      <c r="AD15" s="1647">
        <v>8</v>
      </c>
      <c r="AE15" s="1647">
        <v>8</v>
      </c>
      <c r="AF15" s="1647">
        <v>8</v>
      </c>
      <c r="AG15" s="1647">
        <v>8</v>
      </c>
      <c r="AH15" s="1647">
        <v>8</v>
      </c>
      <c r="AI15" s="1647">
        <v>8</v>
      </c>
      <c r="AJ15" s="1647">
        <v>8</v>
      </c>
      <c r="AK15" s="1647">
        <v>8</v>
      </c>
      <c r="AL15" s="1647">
        <v>8</v>
      </c>
      <c r="AM15" s="1647">
        <v>8</v>
      </c>
      <c r="AN15" s="1647">
        <v>8</v>
      </c>
      <c r="AO15" s="1647">
        <v>8</v>
      </c>
      <c r="AP15" s="1647">
        <v>8</v>
      </c>
      <c r="AQ15" s="1647">
        <v>8</v>
      </c>
      <c r="AR15" s="1647">
        <v>8</v>
      </c>
      <c r="AS15" s="1647">
        <v>8</v>
      </c>
      <c r="AT15" s="1647">
        <v>8</v>
      </c>
      <c r="AU15" s="1647">
        <v>8</v>
      </c>
      <c r="AV15" s="1647">
        <v>8</v>
      </c>
      <c r="AW15" s="1647">
        <v>8</v>
      </c>
      <c r="AX15" s="1647">
        <v>8</v>
      </c>
      <c r="AY15" s="1647">
        <v>8</v>
      </c>
      <c r="AZ15" s="1647">
        <v>8</v>
      </c>
      <c r="BA15" s="1647">
        <v>8</v>
      </c>
      <c r="BB15" s="1647">
        <v>8</v>
      </c>
      <c r="BC15" s="1647">
        <v>8</v>
      </c>
      <c r="BD15" s="1647">
        <v>8</v>
      </c>
      <c r="BE15" s="1647">
        <v>8</v>
      </c>
      <c r="BF15" s="1647">
        <v>8</v>
      </c>
      <c r="BG15" s="1647">
        <v>8</v>
      </c>
      <c r="BH15" s="1647">
        <v>8</v>
      </c>
      <c r="BI15" s="1647">
        <v>8</v>
      </c>
      <c r="BJ15" s="1647">
        <v>8</v>
      </c>
      <c r="BK15" s="1647">
        <v>8</v>
      </c>
      <c r="BL15" s="1647">
        <v>8</v>
      </c>
      <c r="BM15" s="1647">
        <v>8</v>
      </c>
      <c r="BN15" s="1647">
        <v>8</v>
      </c>
      <c r="BO15" s="1647">
        <v>8</v>
      </c>
      <c r="BP15" s="1647">
        <v>8</v>
      </c>
      <c r="BQ15" s="1647">
        <v>8</v>
      </c>
      <c r="BR15" s="1647">
        <v>8</v>
      </c>
      <c r="BS15" s="1647">
        <v>8</v>
      </c>
      <c r="BT15" s="1647">
        <v>8</v>
      </c>
      <c r="BU15" s="1647">
        <v>8</v>
      </c>
      <c r="BV15" s="1647">
        <v>8</v>
      </c>
      <c r="BW15" s="1647">
        <v>8</v>
      </c>
      <c r="BX15" s="1647">
        <v>8</v>
      </c>
      <c r="BY15" s="1647">
        <v>8</v>
      </c>
      <c r="BZ15" s="1647">
        <v>8</v>
      </c>
      <c r="CA15" s="1647">
        <v>8</v>
      </c>
      <c r="CB15" s="1647">
        <v>8</v>
      </c>
      <c r="CC15" s="1647">
        <v>8</v>
      </c>
      <c r="CD15" s="1647">
        <v>8</v>
      </c>
      <c r="CE15" s="1647">
        <v>8</v>
      </c>
      <c r="CF15" s="1647">
        <v>8</v>
      </c>
      <c r="CG15" s="1647">
        <v>8</v>
      </c>
      <c r="CH15" s="1647">
        <v>8</v>
      </c>
      <c r="CI15" s="1647">
        <v>8</v>
      </c>
      <c r="CJ15" s="1647">
        <v>8</v>
      </c>
      <c r="CK15" s="1647">
        <v>8</v>
      </c>
      <c r="CL15" s="1647">
        <v>8</v>
      </c>
      <c r="CM15" s="1647">
        <v>8</v>
      </c>
      <c r="CN15" s="1647">
        <v>8</v>
      </c>
      <c r="CO15" s="1647">
        <v>8</v>
      </c>
      <c r="CP15" s="1647">
        <v>8</v>
      </c>
      <c r="CQ15" s="1647">
        <v>8</v>
      </c>
      <c r="CR15" s="1647">
        <v>8</v>
      </c>
      <c r="CS15" s="1647">
        <v>8</v>
      </c>
      <c r="CT15" s="1647">
        <v>8</v>
      </c>
      <c r="CU15" s="1647">
        <v>8</v>
      </c>
      <c r="CV15" s="1647">
        <v>8</v>
      </c>
      <c r="CW15" s="1647">
        <v>8</v>
      </c>
      <c r="CX15" s="1647">
        <v>8</v>
      </c>
      <c r="CY15" s="1647">
        <v>8</v>
      </c>
      <c r="CZ15" s="1647">
        <v>8</v>
      </c>
      <c r="DA15" s="1647">
        <v>8</v>
      </c>
      <c r="DB15" s="1647">
        <v>8</v>
      </c>
      <c r="DC15" s="1647">
        <v>8</v>
      </c>
      <c r="DD15" s="1647">
        <v>8</v>
      </c>
      <c r="DE15" s="1647">
        <v>8</v>
      </c>
      <c r="DF15" s="1647">
        <v>8</v>
      </c>
      <c r="DG15" s="1647">
        <v>8</v>
      </c>
      <c r="DH15" s="1647">
        <v>8</v>
      </c>
      <c r="DI15" s="1647">
        <v>8</v>
      </c>
      <c r="DJ15" s="1647">
        <v>8</v>
      </c>
      <c r="DK15" s="1647">
        <v>8</v>
      </c>
      <c r="DL15" s="1647">
        <v>8</v>
      </c>
      <c r="DM15" s="1647">
        <v>8</v>
      </c>
      <c r="DN15" s="1647">
        <v>8</v>
      </c>
      <c r="DO15" s="1647">
        <v>8</v>
      </c>
      <c r="DP15" s="1647">
        <v>8</v>
      </c>
      <c r="DQ15" s="1647">
        <v>8</v>
      </c>
      <c r="DR15" s="1647">
        <v>8</v>
      </c>
      <c r="DS15" s="1647">
        <v>8</v>
      </c>
      <c r="DT15" s="1647">
        <v>8</v>
      </c>
      <c r="DU15" s="1647">
        <v>8</v>
      </c>
      <c r="DV15" s="1647">
        <v>8</v>
      </c>
      <c r="DW15" s="1647">
        <v>8</v>
      </c>
      <c r="DX15" s="1647">
        <v>8</v>
      </c>
      <c r="DY15" s="1647">
        <v>8</v>
      </c>
      <c r="DZ15" s="1647">
        <v>8</v>
      </c>
      <c r="EA15" s="1647">
        <v>8</v>
      </c>
      <c r="EB15" s="1647">
        <v>8</v>
      </c>
      <c r="EC15" s="1647">
        <v>8</v>
      </c>
      <c r="ED15" s="1647">
        <v>8</v>
      </c>
      <c r="EE15" s="1647">
        <v>8</v>
      </c>
      <c r="EF15" s="1647">
        <v>8</v>
      </c>
      <c r="EG15" s="1647">
        <v>8</v>
      </c>
      <c r="EH15" s="1647">
        <v>8</v>
      </c>
      <c r="EI15" s="1647">
        <v>8</v>
      </c>
      <c r="EJ15" s="1647">
        <v>8</v>
      </c>
      <c r="EK15" s="1647">
        <v>8</v>
      </c>
      <c r="EL15" s="1647">
        <v>8</v>
      </c>
      <c r="EM15" s="1647">
        <v>8</v>
      </c>
      <c r="EN15" s="1647">
        <v>8</v>
      </c>
      <c r="EO15" s="1647">
        <v>8</v>
      </c>
      <c r="EP15" s="1647">
        <v>8</v>
      </c>
      <c r="EQ15" s="1647">
        <v>8</v>
      </c>
      <c r="ER15" s="1647">
        <v>8</v>
      </c>
      <c r="ES15" s="1647">
        <v>8</v>
      </c>
      <c r="ET15" s="1647">
        <v>8</v>
      </c>
      <c r="EU15" s="1647">
        <v>8</v>
      </c>
      <c r="EV15" s="1647">
        <v>8</v>
      </c>
      <c r="EW15" s="1647">
        <v>8</v>
      </c>
      <c r="EX15" s="1647">
        <v>8</v>
      </c>
      <c r="EY15" s="1647">
        <v>8</v>
      </c>
      <c r="EZ15" s="1647">
        <v>8</v>
      </c>
      <c r="FA15" s="1647">
        <v>8</v>
      </c>
      <c r="FB15" s="1647">
        <v>8</v>
      </c>
      <c r="FC15" s="1647">
        <v>8</v>
      </c>
      <c r="FD15" s="1647">
        <v>8</v>
      </c>
      <c r="FE15" s="1647">
        <v>8</v>
      </c>
      <c r="FF15" s="1647">
        <v>8</v>
      </c>
      <c r="FG15" s="1647">
        <v>8</v>
      </c>
      <c r="FH15" s="1647">
        <v>8</v>
      </c>
      <c r="FI15" s="1647">
        <v>8</v>
      </c>
      <c r="FJ15" s="1647">
        <v>8</v>
      </c>
      <c r="FK15" s="1647">
        <v>8</v>
      </c>
      <c r="FL15" s="1647">
        <v>8</v>
      </c>
      <c r="FM15" s="1647">
        <v>8</v>
      </c>
      <c r="FN15" s="1647">
        <v>8</v>
      </c>
      <c r="FO15" s="1647">
        <v>8</v>
      </c>
      <c r="FP15" s="1647">
        <v>8</v>
      </c>
      <c r="FQ15" s="1647">
        <v>8</v>
      </c>
      <c r="FR15" s="1647">
        <v>8</v>
      </c>
      <c r="FS15" s="1647">
        <v>8</v>
      </c>
      <c r="FT15" s="1647">
        <v>8</v>
      </c>
      <c r="FU15" s="1647">
        <v>8</v>
      </c>
      <c r="FV15" s="1647">
        <v>8</v>
      </c>
      <c r="FW15" s="1647">
        <v>8</v>
      </c>
      <c r="FX15" s="1647">
        <v>8</v>
      </c>
      <c r="FY15" s="1647">
        <v>8</v>
      </c>
      <c r="FZ15" s="1647">
        <v>8</v>
      </c>
      <c r="GA15" s="1647">
        <v>8</v>
      </c>
      <c r="GB15" s="1647">
        <v>8</v>
      </c>
      <c r="GC15" s="1647">
        <v>8</v>
      </c>
      <c r="GD15" s="1647">
        <v>8</v>
      </c>
      <c r="GE15" s="1647">
        <v>8</v>
      </c>
      <c r="GF15" s="1647">
        <v>8</v>
      </c>
      <c r="GG15" s="1647">
        <v>8</v>
      </c>
      <c r="GH15" s="1647">
        <v>8</v>
      </c>
      <c r="GI15" s="1647">
        <v>8</v>
      </c>
      <c r="GJ15" s="1647">
        <v>8</v>
      </c>
      <c r="GK15" s="1647">
        <v>8</v>
      </c>
      <c r="GL15" s="1647">
        <v>8</v>
      </c>
      <c r="GM15" s="1647">
        <v>8</v>
      </c>
      <c r="GN15" s="1647">
        <v>8</v>
      </c>
      <c r="GO15" s="1647">
        <v>8</v>
      </c>
      <c r="GP15" s="1647">
        <v>8</v>
      </c>
      <c r="GQ15" s="1647">
        <v>8</v>
      </c>
      <c r="GR15" s="1647">
        <v>8</v>
      </c>
      <c r="GS15" s="1647">
        <v>8</v>
      </c>
      <c r="GT15" s="1647">
        <v>8</v>
      </c>
      <c r="GU15" s="1647">
        <v>8</v>
      </c>
      <c r="GV15" s="1647">
        <v>8</v>
      </c>
      <c r="GW15" s="1647">
        <v>8</v>
      </c>
      <c r="GX15" s="1647">
        <v>8</v>
      </c>
      <c r="GY15" s="1647">
        <v>8</v>
      </c>
      <c r="GZ15" s="1647">
        <v>8</v>
      </c>
      <c r="HA15" s="1647">
        <v>8</v>
      </c>
      <c r="HB15" s="1647">
        <v>8</v>
      </c>
      <c r="HC15" s="1647">
        <v>8</v>
      </c>
      <c r="HD15" s="1647">
        <v>8</v>
      </c>
      <c r="HE15" s="1647">
        <v>8</v>
      </c>
      <c r="HF15" s="1647">
        <v>8</v>
      </c>
      <c r="HG15" s="1647">
        <v>8</v>
      </c>
      <c r="HH15" s="1647">
        <v>8</v>
      </c>
      <c r="HI15" s="1647">
        <v>8</v>
      </c>
      <c r="HJ15" s="1647">
        <v>8</v>
      </c>
      <c r="HK15" s="1647">
        <v>8</v>
      </c>
      <c r="HL15" s="1647">
        <v>8</v>
      </c>
      <c r="HM15" s="1647">
        <v>8</v>
      </c>
      <c r="HN15" s="1647">
        <v>8</v>
      </c>
      <c r="HO15" s="1647">
        <v>8</v>
      </c>
      <c r="HP15" s="1647">
        <v>8</v>
      </c>
      <c r="HQ15" s="1647">
        <v>8</v>
      </c>
      <c r="HR15" s="1647">
        <v>8</v>
      </c>
      <c r="HS15" s="1647">
        <v>8</v>
      </c>
      <c r="HT15" s="1647">
        <v>8</v>
      </c>
      <c r="HU15" s="1647">
        <v>8</v>
      </c>
      <c r="HV15" s="1647">
        <v>8</v>
      </c>
      <c r="HW15" s="1647">
        <v>8</v>
      </c>
      <c r="HX15" s="1647">
        <v>8</v>
      </c>
      <c r="HY15" s="1647">
        <v>8</v>
      </c>
      <c r="HZ15" s="1647">
        <v>8</v>
      </c>
      <c r="IA15" s="1647">
        <v>8</v>
      </c>
      <c r="IB15" s="1647">
        <v>8</v>
      </c>
      <c r="IC15" s="1647">
        <v>8</v>
      </c>
      <c r="ID15" s="1647">
        <v>8</v>
      </c>
      <c r="IE15" s="1647">
        <v>8</v>
      </c>
      <c r="IF15" s="1647">
        <v>8</v>
      </c>
      <c r="IG15" s="1647">
        <v>8</v>
      </c>
      <c r="IH15" s="1647">
        <v>8</v>
      </c>
      <c r="II15" s="1647">
        <v>8</v>
      </c>
      <c r="IJ15" s="1647">
        <v>8</v>
      </c>
      <c r="IK15" s="1647">
        <v>8</v>
      </c>
      <c r="IL15" s="1647">
        <v>8</v>
      </c>
      <c r="IM15" s="1647">
        <v>8</v>
      </c>
      <c r="IN15" s="1647">
        <v>8</v>
      </c>
      <c r="IO15" s="1647">
        <v>8</v>
      </c>
      <c r="IP15" s="1647">
        <v>8</v>
      </c>
      <c r="IQ15" s="1647">
        <v>8</v>
      </c>
      <c r="IR15" s="1647">
        <v>8</v>
      </c>
      <c r="IS15" s="1647">
        <v>8</v>
      </c>
      <c r="IT15" s="1647">
        <v>8</v>
      </c>
      <c r="IU15" s="1647">
        <v>8</v>
      </c>
      <c r="IV15" s="1647">
        <v>8</v>
      </c>
      <c r="IW15" s="164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A77B1-DB0F-A2D8-31F2-2B1CA627023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51" width="9.140625" hidden="1"/>
    <col min="2" max="2" style="1382" width="9.140625" hidden="1"/>
    <col min="3" max="3" style="1651" width="3.7109375" hidden="1" customWidth="1"/>
    <col min="4" max="4" style="1858" width="3.00390625" customWidth="1"/>
    <col min="5" max="5" style="1651" width="6.00390625" customWidth="1"/>
    <col min="6" max="6" style="1651" width="27.00390625" customWidth="1"/>
    <col min="7" max="7" style="1651" width="29.00390625" customWidth="1"/>
    <col min="8" max="8" style="1651" width="25.00390625" customWidth="1"/>
    <col min="9" max="9" style="1651" width="5.00390625" customWidth="1"/>
    <col min="10" max="10" style="1651" width="6.00390625" customWidth="1"/>
    <col min="11" max="11" style="1651" width="41.00390625" customWidth="1"/>
    <col min="12" max="12" style="1651" width="42.00390625" customWidth="1"/>
    <col min="13" max="13" style="1651" width="41.00390625" customWidth="1"/>
    <col min="14" max="14" style="1651" width="89.00390625" customWidth="1"/>
    <col min="15" max="15" style="1640" width="3.00390625" customWidth="1"/>
    <col min="16" max="16" style="1640" width="8.00390625" customWidth="1"/>
    <col min="17" max="17" style="1651" width="9.140625" hidden="1"/>
  </cols>
  <sheetData>
    <row customHeight="1" ht="22.5" hidden="1">
      <c r="Q1" s="1171" t="s">
        <v>14</v>
      </c>
    </row>
    <row s="1866" customFormat="1" customHeight="1" ht="22.5" hidden="1">
      <c r="A2" s="512"/>
      <c r="B2" s="1176">
        <v>1</v>
      </c>
      <c r="C2" s="1176"/>
      <c r="D2" s="1944" t="s">
        <v>108</v>
      </c>
      <c r="E2" s="2143">
        <v>1</v>
      </c>
      <c r="F2" s="2319" t="str">
        <f>IF(region_name="","",region_name)</f>
        <v>Приморский край</v>
      </c>
      <c r="G2" s="2499"/>
      <c r="H2" s="2500"/>
      <c r="I2" s="490"/>
      <c r="J2" s="1926">
        <v>1</v>
      </c>
      <c r="K2" s="1928"/>
      <c r="L2" s="1928"/>
      <c r="M2" s="1928"/>
      <c r="N2" s="508"/>
      <c r="O2" s="1551"/>
      <c r="P2" s="527"/>
      <c r="Q2" s="439">
        <v>0</v>
      </c>
    </row>
    <row s="1866" customFormat="1" customHeight="1" ht="22.5" hidden="1">
      <c r="A3" s="847"/>
      <c r="B3" s="1176"/>
      <c r="C3" s="1176"/>
      <c r="D3" s="817"/>
      <c r="E3" s="2143"/>
      <c r="F3" s="2319"/>
      <c r="G3" s="2499"/>
      <c r="H3" s="2501"/>
      <c r="I3" s="437"/>
      <c r="J3" s="1516"/>
      <c r="K3" s="1516" t="s">
        <v>2027</v>
      </c>
      <c r="L3" s="1559"/>
      <c r="M3" s="1936"/>
      <c r="N3" s="1929"/>
      <c r="O3" s="1551"/>
      <c r="P3" s="527"/>
      <c r="Q3" s="439">
        <v>0</v>
      </c>
    </row>
    <row s="1658" customFormat="1" customHeight="1" ht="5.25" hidden="1">
      <c r="A4" s="512"/>
      <c r="D4" s="510"/>
      <c r="F4" s="263" t="s">
        <v>86</v>
      </c>
      <c r="G4" s="510" t="s">
        <v>87</v>
      </c>
      <c r="H4" s="510"/>
      <c r="I4" s="1939"/>
      <c r="J4" s="1560"/>
      <c r="K4" s="1927"/>
      <c r="L4" s="1927"/>
      <c r="M4" s="1927"/>
      <c r="N4" s="1923"/>
      <c r="O4" s="263" t="s">
        <v>86</v>
      </c>
      <c r="P4" s="263"/>
      <c r="Q4" s="527">
        <v>0</v>
      </c>
    </row>
    <row s="1866" customFormat="1" customHeight="1" ht="22.5" hidden="1">
      <c r="A5" s="1657"/>
      <c r="B5" s="1382">
        <v>1</v>
      </c>
      <c r="C5" s="1382"/>
      <c r="D5" s="817"/>
      <c r="E5" s="1929"/>
      <c r="F5" s="1929"/>
      <c r="G5" s="1929"/>
      <c r="H5" s="1940"/>
      <c r="I5" s="1945" t="s">
        <v>108</v>
      </c>
      <c r="J5" s="1938">
        <v>1</v>
      </c>
      <c r="K5" s="1928"/>
      <c r="L5" s="1928"/>
      <c r="M5" s="1928"/>
      <c r="N5" s="508"/>
      <c r="O5" s="1551"/>
      <c r="P5" s="1652"/>
      <c r="Q5" s="640">
        <v>0</v>
      </c>
    </row>
    <row s="1835" customFormat="1" customHeight="1" ht="14.699999999999998">
      <c r="A6" s="1171"/>
      <c r="B6" s="1176"/>
      <c r="C6" s="1171"/>
      <c r="D6" s="1511"/>
      <c r="E6" s="525"/>
      <c r="F6" s="525"/>
      <c r="G6" s="525"/>
      <c r="H6" s="525"/>
      <c r="I6" s="525"/>
      <c r="J6" s="525"/>
      <c r="K6" s="525"/>
      <c r="L6" s="525"/>
      <c r="M6" s="525"/>
      <c r="N6" s="1651"/>
      <c r="O6" s="263"/>
      <c r="P6" s="516"/>
      <c r="Q6" s="523">
        <v>14</v>
      </c>
    </row>
    <row s="1835" customFormat="1" customHeight="1" ht="27.299999999999997">
      <c r="A7" s="1171"/>
      <c r="B7" s="1176"/>
      <c r="C7" s="1171"/>
      <c r="D7" s="1511"/>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268"/>
      <c r="O7" s="263"/>
      <c r="P7" s="516"/>
      <c r="Q7" s="523">
        <v>26</v>
      </c>
    </row>
    <row s="1835" customFormat="1" customHeight="1" ht="14.699999999999998">
      <c r="A8" s="1171"/>
      <c r="B8" s="1176"/>
      <c r="C8" s="1171"/>
      <c r="D8" s="1511"/>
      <c r="E8" s="525"/>
      <c r="F8" s="183"/>
      <c r="G8" s="183"/>
      <c r="H8" s="183"/>
      <c r="I8" s="183"/>
      <c r="J8" s="183"/>
      <c r="K8" s="183"/>
      <c r="L8" s="183"/>
      <c r="M8" s="183"/>
      <c r="N8" s="632"/>
      <c r="O8" s="516"/>
      <c r="P8" s="516"/>
      <c r="Q8" s="523">
        <v>14</v>
      </c>
    </row>
    <row s="1562" customFormat="1" customHeight="1" ht="14.25" hidden="1">
      <c r="A9" s="1484"/>
      <c r="B9" s="1494"/>
      <c r="C9" s="1484"/>
      <c r="D9" s="1511"/>
      <c r="E9" s="1930"/>
      <c r="F9" s="1930"/>
      <c r="G9" s="1930"/>
      <c r="H9" s="1930"/>
      <c r="I9" s="2509"/>
      <c r="J9" s="2509"/>
      <c r="K9" s="2509"/>
      <c r="L9" s="1930"/>
      <c r="M9" s="1931"/>
      <c r="O9" s="1561"/>
      <c r="P9" s="1561"/>
      <c r="Q9" s="1562">
        <v>0</v>
      </c>
    </row>
    <row s="1835" customFormat="1" customHeight="1" ht="14.699999999999998">
      <c r="A10" s="1171"/>
      <c r="B10" s="1176"/>
      <c r="C10" s="1171"/>
      <c r="D10" s="1511"/>
      <c r="E10" s="2143" t="s">
        <v>453</v>
      </c>
      <c r="F10" s="2143"/>
      <c r="G10" s="2143"/>
      <c r="H10" s="2143"/>
      <c r="I10" s="2143"/>
      <c r="J10" s="2143"/>
      <c r="K10" s="2143"/>
      <c r="L10" s="2143"/>
      <c r="M10" s="2117"/>
      <c r="N10" s="2494" t="s">
        <v>454</v>
      </c>
      <c r="O10" s="516"/>
      <c r="P10" s="516"/>
      <c r="Q10" s="523">
        <v>14</v>
      </c>
    </row>
    <row s="1835" customFormat="1" customHeight="1" ht="44.25">
      <c r="A11" s="1647"/>
      <c r="B11" s="1382"/>
      <c r="C11" s="1647"/>
      <c r="D11" s="1531"/>
      <c r="E11" s="2508" t="s">
        <v>91</v>
      </c>
      <c r="F11" s="2508" t="s">
        <v>457</v>
      </c>
      <c r="G11" s="2508" t="s">
        <v>2028</v>
      </c>
      <c r="H11" s="2508"/>
      <c r="I11" s="2508" t="s">
        <v>2029</v>
      </c>
      <c r="J11" s="2508"/>
      <c r="K11" s="2508"/>
      <c r="L11" s="2508" t="s">
        <v>2030</v>
      </c>
      <c r="M11" s="2496" t="s">
        <v>2031</v>
      </c>
      <c r="N11" s="2507"/>
      <c r="O11" s="1640"/>
      <c r="P11" s="1640"/>
      <c r="Q11" s="1625">
        <v>42</v>
      </c>
    </row>
    <row s="1835" customFormat="1" customHeight="1" ht="29.25">
      <c r="A12" s="1171"/>
      <c r="B12" s="1176"/>
      <c r="C12" s="1171"/>
      <c r="D12" s="1511"/>
      <c r="E12" s="2494"/>
      <c r="F12" s="2508"/>
      <c r="G12" s="1925" t="s">
        <v>2032</v>
      </c>
      <c r="H12" s="1925" t="s">
        <v>461</v>
      </c>
      <c r="I12" s="2508"/>
      <c r="J12" s="2508"/>
      <c r="K12" s="2508"/>
      <c r="L12" s="2508"/>
      <c r="M12" s="2496"/>
      <c r="N12" s="2495"/>
      <c r="O12" s="516"/>
      <c r="P12" s="516"/>
      <c r="Q12" s="523">
        <v>28</v>
      </c>
    </row>
    <row s="1866" customFormat="1" customHeight="1" ht="23.25">
      <c r="A13" s="2115">
        <v>26379339</v>
      </c>
      <c r="B13" s="1176">
        <v>1</v>
      </c>
      <c r="C13" s="1176"/>
      <c r="D13" s="817"/>
      <c r="E13" s="2143">
        <v>1</v>
      </c>
      <c r="F13" s="2502" t="str">
        <f>IF(region_name="","",region_name)</f>
        <v>Приморский край</v>
      </c>
      <c r="G13" s="2503"/>
      <c r="H13" s="2510"/>
      <c r="I13" s="490"/>
      <c r="J13" s="1921">
        <v>1</v>
      </c>
      <c r="K13" s="1934"/>
      <c r="L13" s="1935"/>
      <c r="M13" s="1935"/>
      <c r="N13" s="2504" t="s">
        <v>2033</v>
      </c>
      <c r="O13" s="1551"/>
      <c r="P13" s="527"/>
      <c r="Q13" s="439">
        <v>22</v>
      </c>
    </row>
    <row s="1866" customFormat="1" customHeight="1" ht="23.25">
      <c r="A14" s="2115"/>
      <c r="B14" s="1176"/>
      <c r="C14" s="1176"/>
      <c r="D14" s="817"/>
      <c r="E14" s="2143"/>
      <c r="F14" s="2502"/>
      <c r="G14" s="2503"/>
      <c r="H14" s="2511"/>
      <c r="I14" s="437"/>
      <c r="J14" s="1516"/>
      <c r="K14" s="1516" t="s">
        <v>2027</v>
      </c>
      <c r="L14" s="1559"/>
      <c r="M14" s="1559"/>
      <c r="N14" s="2505"/>
      <c r="O14" s="1551"/>
      <c r="P14" s="527"/>
      <c r="Q14" s="439">
        <v>22</v>
      </c>
    </row>
    <row s="1866" customFormat="1" customHeight="1" ht="23.25">
      <c r="A15" s="2115"/>
      <c r="B15" s="1176"/>
      <c r="C15" s="428"/>
      <c r="D15" s="817"/>
      <c r="E15" s="437"/>
      <c r="F15" s="1516" t="s">
        <v>2019</v>
      </c>
      <c r="G15" s="1558"/>
      <c r="H15" s="1558"/>
      <c r="I15" s="203"/>
      <c r="J15" s="203"/>
      <c r="K15" s="203"/>
      <c r="L15" s="203"/>
      <c r="M15" s="203"/>
      <c r="N15" s="2505"/>
      <c r="O15" s="1552"/>
      <c r="P15" s="527"/>
      <c r="Q15" s="439">
        <v>22</v>
      </c>
    </row>
    <row s="1835" customFormat="1" customHeight="1" ht="22.049999999999997">
      <c r="A16" s="1171"/>
      <c r="B16" s="1176"/>
      <c r="C16" s="1171"/>
      <c r="D16" s="467"/>
      <c r="E16" s="196"/>
      <c r="F16" s="196"/>
      <c r="G16" s="196"/>
      <c r="H16" s="196"/>
      <c r="I16" s="196"/>
      <c r="J16" s="196"/>
      <c r="K16" s="196"/>
      <c r="L16" s="196"/>
      <c r="M16" s="525"/>
      <c r="N16" s="1651"/>
      <c r="O16" s="516"/>
      <c r="P16" s="516"/>
      <c r="Q16" s="523">
        <v>21</v>
      </c>
    </row>
    <row s="1835" customFormat="1" customHeight="1" ht="14.699999999999998">
      <c r="A17" s="1171"/>
      <c r="B17" s="1176"/>
      <c r="C17" s="1171"/>
      <c r="D17" s="467"/>
      <c r="E17" s="1171"/>
      <c r="F17" s="1171"/>
      <c r="G17" s="1171"/>
      <c r="H17" s="1171"/>
      <c r="I17" s="1171"/>
      <c r="J17" s="1171"/>
      <c r="K17" s="1171"/>
      <c r="L17" s="1171"/>
      <c r="M17" s="1171"/>
      <c r="N17" s="1647"/>
      <c r="O17" s="516"/>
      <c r="P17" s="516"/>
      <c r="Q17" s="523">
        <v>14</v>
      </c>
    </row>
    <row s="1835" customFormat="1" customHeight="1" ht="1.05">
      <c r="A18" s="1171"/>
      <c r="B18" s="1176"/>
      <c r="C18" s="1171"/>
      <c r="D18" s="467"/>
      <c r="E18" s="1171"/>
      <c r="F18" s="1171"/>
      <c r="G18" s="1171"/>
      <c r="H18" s="1171"/>
      <c r="I18" s="1171"/>
      <c r="J18" s="1171"/>
      <c r="K18" s="1171"/>
      <c r="L18" s="1171"/>
      <c r="M18" s="1171"/>
      <c r="N18" s="1647"/>
      <c r="O18" s="516"/>
      <c r="P18" s="516"/>
      <c r="Q18" s="523">
        <v>1</v>
      </c>
    </row>
    <row customHeight="1" ht="22.5" hidden="1">
      <c r="A19" s="1171" t="s">
        <v>85</v>
      </c>
      <c r="B19" s="1176">
        <v>0</v>
      </c>
      <c r="C19" s="1171">
        <v>0</v>
      </c>
      <c r="D19" s="467">
        <v>3</v>
      </c>
      <c r="E19" s="1171">
        <v>6</v>
      </c>
      <c r="F19" s="1171">
        <v>27</v>
      </c>
      <c r="G19" s="1171">
        <v>29</v>
      </c>
      <c r="H19" s="1171">
        <v>25</v>
      </c>
      <c r="I19" s="1171">
        <v>5</v>
      </c>
      <c r="J19" s="1171">
        <v>6</v>
      </c>
      <c r="K19" s="1171">
        <v>41</v>
      </c>
      <c r="L19" s="1171">
        <v>42</v>
      </c>
      <c r="M19" s="1171">
        <v>41</v>
      </c>
      <c r="N19" s="1647">
        <v>89</v>
      </c>
      <c r="O19" s="516">
        <v>3</v>
      </c>
      <c r="P19" s="516">
        <v>8</v>
      </c>
      <c r="Q19" s="117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69F69-B759-8B3F-C816-F53DD7B030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74" width="9.140625" hidden="1"/>
    <col min="2" max="2" style="1839" width="9.140625" hidden="1"/>
    <col min="3" max="3" style="136" width="3.00390625" customWidth="1"/>
    <col min="4" max="4" style="1839" width="6.00390625" customWidth="1"/>
    <col min="5" max="5" style="1839" width="22.00390625" customWidth="1"/>
    <col min="6" max="6" style="1839" width="15.00390625" customWidth="1"/>
    <col min="7" max="7" style="1839" width="14.00390625" customWidth="1"/>
    <col min="8" max="8" style="1839" width="47.00390625" customWidth="1"/>
    <col min="9" max="9" style="1839" width="115.00390625" customWidth="1"/>
    <col min="10" max="10" style="1839" width="3.00390625" customWidth="1"/>
    <col min="11" max="12" style="1839" width="8.00390625" customWidth="1"/>
    <col min="13" max="13" style="1839" width="9.140625" hidden="1"/>
  </cols>
  <sheetData>
    <row customHeight="1" ht="14.25" hidden="1">
      <c r="M1" s="137" t="s">
        <v>14</v>
      </c>
    </row>
    <row customHeight="1" ht="14.25" hidden="1">
      <c r="M2" s="137">
        <v>0</v>
      </c>
    </row>
    <row customHeight="1" ht="14.25" hidden="1">
      <c r="M3" s="137">
        <v>0</v>
      </c>
    </row>
    <row customHeight="1" ht="3">
      <c r="M4" s="137">
        <v>3</v>
      </c>
    </row>
    <row s="1651" customFormat="1" customHeight="1" ht="31.5">
      <c r="A5" s="131"/>
      <c r="C5" s="106"/>
      <c r="D5" s="2116" t="s">
        <v>2034</v>
      </c>
      <c r="E5" s="2116"/>
      <c r="F5" s="2116"/>
      <c r="G5" s="2116"/>
      <c r="H5" s="2116"/>
      <c r="I5" s="281"/>
      <c r="M5" s="99">
        <v>30</v>
      </c>
    </row>
    <row customHeight="1" ht="3" hidden="1">
      <c r="D6" s="138"/>
      <c r="E6" s="138"/>
      <c r="F6" s="138"/>
      <c r="G6" s="138"/>
      <c r="H6" s="138"/>
      <c r="I6" s="138"/>
      <c r="M6" s="137">
        <v>0</v>
      </c>
    </row>
    <row s="374" customFormat="1" customHeight="1" ht="14.699999999999998">
      <c r="B7" s="135"/>
      <c r="C7" s="136"/>
      <c r="D7" s="139"/>
      <c r="E7" s="139"/>
      <c r="F7" s="139"/>
      <c r="G7" s="139"/>
      <c r="H7" s="768"/>
      <c r="I7" s="139"/>
      <c r="J7" s="140"/>
      <c r="M7" s="134">
        <v>14</v>
      </c>
    </row>
    <row customHeight="1" ht="14.699999999999998">
      <c r="D8" s="2225" t="s">
        <v>453</v>
      </c>
      <c r="E8" s="2225"/>
      <c r="F8" s="2225"/>
      <c r="G8" s="2225"/>
      <c r="H8" s="2225"/>
      <c r="I8" s="2225" t="s">
        <v>454</v>
      </c>
      <c r="M8" s="137">
        <v>14</v>
      </c>
    </row>
    <row customHeight="1" ht="29.25">
      <c r="D9" s="2225" t="s">
        <v>91</v>
      </c>
      <c r="E9" s="2225" t="s">
        <v>2035</v>
      </c>
      <c r="F9" s="2225"/>
      <c r="G9" s="2225"/>
      <c r="H9" s="2225"/>
      <c r="I9" s="2225"/>
      <c r="M9" s="137">
        <v>28</v>
      </c>
    </row>
    <row customHeight="1" ht="24">
      <c r="D10" s="2225"/>
      <c r="E10" s="143" t="s">
        <v>2036</v>
      </c>
      <c r="F10" s="143" t="s">
        <v>2037</v>
      </c>
      <c r="G10" s="143" t="s">
        <v>2038</v>
      </c>
      <c r="H10" s="143" t="s">
        <v>543</v>
      </c>
      <c r="I10" s="2225"/>
      <c r="M10" s="137">
        <v>23</v>
      </c>
    </row>
    <row customHeight="1" ht="12" hidden="1">
      <c r="D11" s="103" t="s">
        <v>141</v>
      </c>
      <c r="E11" s="103" t="s">
        <v>94</v>
      </c>
      <c r="F11" s="103" t="s">
        <v>122</v>
      </c>
      <c r="G11" s="103" t="s">
        <v>95</v>
      </c>
      <c r="H11" s="103" t="s">
        <v>96</v>
      </c>
      <c r="I11" s="103" t="s">
        <v>134</v>
      </c>
      <c r="M11" s="137">
        <v>0</v>
      </c>
    </row>
    <row s="1839" customFormat="1" customHeight="1" ht="26.25">
      <c r="A12" s="161" t="s">
        <v>93</v>
      </c>
      <c r="B12" s="141" t="s">
        <v>28</v>
      </c>
      <c r="C12" s="142"/>
      <c r="D12" s="144" t="s">
        <v>141</v>
      </c>
      <c r="E12" s="397"/>
      <c r="F12" s="397"/>
      <c r="G12" s="1750" t="s">
        <v>28</v>
      </c>
      <c r="H12" s="398"/>
      <c r="I12" s="2185" t="s">
        <v>2039</v>
      </c>
      <c r="K12" s="288"/>
      <c r="L12" s="289"/>
      <c r="M12" s="133">
        <v>25</v>
      </c>
    </row>
    <row customHeight="1" ht="15.75">
      <c r="A13" s="137"/>
      <c r="B13" s="137"/>
      <c r="C13" s="137"/>
      <c r="D13" s="125"/>
      <c r="E13" s="146" t="s">
        <v>617</v>
      </c>
      <c r="F13" s="145"/>
      <c r="G13" s="145"/>
      <c r="H13" s="230"/>
      <c r="I13" s="2187"/>
      <c r="M13" s="137">
        <v>15</v>
      </c>
    </row>
    <row customHeight="1" ht="3">
      <c r="A14" s="137"/>
      <c r="B14" s="137"/>
      <c r="C14" s="137"/>
      <c r="M14" s="137">
        <v>3</v>
      </c>
    </row>
    <row customHeight="1" ht="29.25">
      <c r="E15" s="2512" t="s">
        <v>2040</v>
      </c>
      <c r="F15" s="2512"/>
      <c r="G15" s="2512"/>
      <c r="H15" s="2512"/>
      <c r="M15" s="137">
        <v>28</v>
      </c>
    </row>
    <row customHeight="1" ht="14.25" hidden="1">
      <c r="A16" s="134" t="s">
        <v>85</v>
      </c>
      <c r="B16" s="135">
        <v>0</v>
      </c>
      <c r="C16" s="136">
        <v>3</v>
      </c>
      <c r="D16" s="137">
        <v>6</v>
      </c>
      <c r="E16" s="137">
        <v>22</v>
      </c>
      <c r="F16" s="137">
        <v>15</v>
      </c>
      <c r="G16" s="137">
        <v>14</v>
      </c>
      <c r="H16" s="137">
        <v>47</v>
      </c>
      <c r="I16" s="137">
        <v>115</v>
      </c>
      <c r="J16" s="137">
        <v>3</v>
      </c>
      <c r="K16" s="137">
        <v>8</v>
      </c>
      <c r="L16" s="137">
        <v>8</v>
      </c>
      <c r="M16" s="13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3E6FB-DCA2-4625-CEFA-15C15A7B9D1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C13" sqref="C13"/>
    </sheetView>
  </sheetViews>
  <sheetFormatPr defaultColWidth="9.140625" customHeight="1" defaultRowHeight="14.25"/>
  <cols>
    <col min="1" max="2" style="280" width="9.140625" hidden="1"/>
    <col min="3" max="3" style="107" width="3.00390625" customWidth="1"/>
    <col min="4" max="4" style="280" width="6.00390625" customWidth="1"/>
    <col min="5" max="5" style="280" width="94.00390625" customWidth="1"/>
    <col min="6" max="9" style="280" width="8.00390625" customWidth="1"/>
    <col min="10" max="10" style="280" width="9.140625" hidden="1"/>
  </cols>
  <sheetData>
    <row customHeight="1" ht="14.25" hidden="1">
      <c r="J1" s="85" t="s">
        <v>14</v>
      </c>
    </row>
    <row customHeight="1" ht="14.25" hidden="1">
      <c r="J2" s="85">
        <v>0</v>
      </c>
    </row>
    <row customHeight="1" ht="14.25" hidden="1">
      <c r="J3" s="85">
        <v>0</v>
      </c>
    </row>
    <row customHeight="1" ht="14.25" hidden="1">
      <c r="J4" s="85">
        <v>0</v>
      </c>
    </row>
    <row customHeight="1" ht="14.25" hidden="1">
      <c r="J5" s="85">
        <v>0</v>
      </c>
    </row>
    <row customHeight="1" ht="3">
      <c r="C6" s="108"/>
      <c r="D6" s="86"/>
      <c r="E6" s="86"/>
      <c r="J6" s="85">
        <v>3</v>
      </c>
    </row>
    <row customHeight="1" ht="23.25">
      <c r="C7" s="108"/>
      <c r="D7" s="2513" t="s">
        <v>2041</v>
      </c>
      <c r="E7" s="2514"/>
      <c r="F7" s="283"/>
      <c r="J7" s="85">
        <v>22</v>
      </c>
    </row>
    <row customHeight="1" ht="3">
      <c r="C8" s="108"/>
      <c r="D8" s="86"/>
      <c r="E8" s="86"/>
      <c r="J8" s="85">
        <v>3</v>
      </c>
    </row>
    <row customHeight="1" ht="16.8">
      <c r="C9" s="108"/>
      <c r="D9" s="121" t="s">
        <v>91</v>
      </c>
      <c r="E9" s="276" t="s">
        <v>2042</v>
      </c>
      <c r="J9" s="85">
        <v>16</v>
      </c>
    </row>
    <row customHeight="1" ht="1.05">
      <c r="C10" s="108"/>
      <c r="D10" s="103"/>
      <c r="E10" s="103"/>
      <c r="J10" s="85">
        <v>1</v>
      </c>
    </row>
    <row customHeight="1" ht="11.25" hidden="1">
      <c r="C11" s="108"/>
      <c r="D11" s="166">
        <v>0</v>
      </c>
      <c r="E11" s="277"/>
      <c r="J11" s="85">
        <v>0</v>
      </c>
    </row>
    <row customHeight="1" ht="67.5">
      <c r="C12" s="152"/>
      <c r="D12" s="129">
        <v>1</v>
      </c>
      <c r="E12" s="393" t="s">
        <v>2043</v>
      </c>
      <c r="J12" s="85">
        <v>15</v>
      </c>
    </row>
    <row customHeight="1" ht="12.6">
      <c r="C13" s="108"/>
      <c r="D13" s="278"/>
      <c r="E13" s="279" t="s">
        <v>2044</v>
      </c>
      <c r="J13" s="85">
        <v>12</v>
      </c>
    </row>
    <row customHeight="1" ht="3">
      <c r="J14" s="85">
        <v>3</v>
      </c>
    </row>
    <row customHeight="1" ht="23.25">
      <c r="C15" s="153"/>
      <c r="D15" s="2515" t="s">
        <v>2045</v>
      </c>
      <c r="E15" s="2515"/>
      <c r="F15" s="154"/>
      <c r="G15" s="154"/>
      <c r="H15" s="154"/>
      <c r="I15" s="154"/>
      <c r="J15" s="85">
        <v>22</v>
      </c>
    </row>
    <row customHeight="1" ht="14.25" hidden="1">
      <c r="A16" s="85" t="s">
        <v>85</v>
      </c>
      <c r="B16" s="85">
        <v>0</v>
      </c>
      <c r="C16" s="107">
        <v>3</v>
      </c>
      <c r="D16" s="85">
        <v>6</v>
      </c>
      <c r="E16" s="85">
        <v>94</v>
      </c>
      <c r="F16" s="85">
        <v>8</v>
      </c>
      <c r="G16" s="85">
        <v>8</v>
      </c>
      <c r="H16" s="85">
        <v>8</v>
      </c>
      <c r="I16" s="85">
        <v>8</v>
      </c>
      <c r="J16" s="8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32CE9-495F-E9C3-AC8F-EF05951F32F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80" width="9.140625" hidden="1"/>
    <col min="3" max="3" style="107" width="3.00390625" customWidth="1"/>
    <col min="4" max="4" style="280" width="6.00390625" customWidth="1"/>
    <col min="5" max="5" style="280" width="94.00390625" customWidth="1"/>
    <col min="6" max="12" style="280" width="8.00390625" customWidth="1"/>
    <col min="13" max="13" style="280" width="9.140625" hidden="1"/>
  </cols>
  <sheetData>
    <row customHeight="1" ht="14.25" hidden="1">
      <c r="L1" s="280"/>
      <c r="M1" s="85" t="s">
        <v>14</v>
      </c>
    </row>
    <row customHeight="1" ht="14.25" hidden="1">
      <c r="M2" s="85">
        <v>0</v>
      </c>
    </row>
    <row customHeight="1" ht="14.25" hidden="1">
      <c r="M3" s="85">
        <v>0</v>
      </c>
    </row>
    <row customHeight="1" ht="14.25" hidden="1">
      <c r="M4" s="85">
        <v>0</v>
      </c>
    </row>
    <row customHeight="1" ht="14.25" hidden="1">
      <c r="M5" s="85">
        <v>0</v>
      </c>
    </row>
    <row customHeight="1" ht="3">
      <c r="C6" s="108"/>
      <c r="D6" s="86"/>
      <c r="E6" s="86"/>
      <c r="M6" s="85">
        <v>3</v>
      </c>
    </row>
    <row customHeight="1" ht="23.25">
      <c r="C7" s="108"/>
      <c r="D7" s="2116" t="s">
        <v>2046</v>
      </c>
      <c r="E7" s="2116"/>
      <c r="F7" s="283"/>
      <c r="M7" s="85">
        <v>22</v>
      </c>
    </row>
    <row customHeight="1" ht="3">
      <c r="C8" s="108"/>
      <c r="D8" s="86"/>
      <c r="E8" s="86"/>
      <c r="M8" s="85">
        <v>3</v>
      </c>
    </row>
    <row customHeight="1" ht="16.8">
      <c r="C9" s="108"/>
      <c r="D9" s="121" t="s">
        <v>91</v>
      </c>
      <c r="E9" s="124" t="s">
        <v>440</v>
      </c>
      <c r="M9" s="85">
        <v>16</v>
      </c>
    </row>
    <row customHeight="1" ht="12.75">
      <c r="C10" s="108"/>
      <c r="D10" s="103" t="s">
        <v>141</v>
      </c>
      <c r="E10" s="103" t="s">
        <v>107</v>
      </c>
      <c r="M10" s="85">
        <v>12</v>
      </c>
    </row>
    <row customHeight="1" ht="15" hidden="1">
      <c r="C11" s="108"/>
      <c r="D11" s="129">
        <v>0</v>
      </c>
      <c r="E11" s="165"/>
      <c r="M11" s="85">
        <v>0</v>
      </c>
    </row>
    <row customHeight="1" ht="14.699999999999998">
      <c r="C12" s="108"/>
      <c r="D12" s="125"/>
      <c r="E12" s="123" t="s">
        <v>2044</v>
      </c>
      <c r="M12" s="85">
        <v>14</v>
      </c>
    </row>
    <row customHeight="1" ht="14.25" hidden="1">
      <c r="A13" s="85" t="s">
        <v>85</v>
      </c>
      <c r="B13" s="85">
        <v>0</v>
      </c>
      <c r="C13" s="107">
        <v>3</v>
      </c>
      <c r="D13" s="85">
        <v>6</v>
      </c>
      <c r="E13" s="85">
        <v>94</v>
      </c>
      <c r="F13" s="85">
        <v>8</v>
      </c>
      <c r="G13" s="85">
        <v>8</v>
      </c>
      <c r="H13" s="85">
        <v>8</v>
      </c>
      <c r="I13" s="85">
        <v>8</v>
      </c>
      <c r="J13" s="85">
        <v>8</v>
      </c>
      <c r="K13" s="85">
        <v>8</v>
      </c>
      <c r="L13" s="85">
        <v>8</v>
      </c>
      <c r="M13" s="8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90698-6E89-CCA5-09C4-DD9409253A0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6" width="9.140625" hidden="1"/>
    <col min="3" max="4" style="1866" width="3.00390625" customWidth="1"/>
    <col min="5" max="6" style="1866" width="15.00390625" customWidth="1"/>
    <col min="7" max="7" style="1866" width="11.57421875" customWidth="1"/>
    <col min="8" max="9" style="1866" width="3.00390625" customWidth="1"/>
    <col min="10" max="10" style="1866" width="12.00390625" customWidth="1"/>
    <col min="11" max="11" style="1866" width="0.28125" customWidth="1"/>
    <col min="12" max="13" style="1866" width="10.00390625" customWidth="1"/>
    <col min="14" max="15" style="1866" width="3.00390625" customWidth="1"/>
    <col min="16" max="16" style="1866" width="19.00390625" customWidth="1"/>
    <col min="17" max="17" style="1866" width="0.28125" customWidth="1"/>
    <col min="18" max="19" style="1866" width="10.00390625" customWidth="1"/>
    <col min="20" max="21" style="1866" width="3.00390625" customWidth="1"/>
    <col min="22" max="22" style="1866" width="25.00390625" customWidth="1"/>
    <col min="23" max="23" style="1866" width="0.28125" customWidth="1"/>
    <col min="24" max="25" style="1866" width="10.00390625" customWidth="1"/>
    <col min="26" max="27" style="1866" width="3.00390625" customWidth="1"/>
    <col min="28" max="28" style="1866" width="16.00390625" customWidth="1"/>
    <col min="29" max="29" style="1866" width="0.28125" customWidth="1"/>
    <col min="30" max="31" style="1866" width="10.00390625" customWidth="1"/>
    <col min="32" max="33" style="1866" width="3.00390625" customWidth="1"/>
    <col min="34" max="34" style="1866" width="8.00390625" customWidth="1"/>
    <col min="35" max="35" style="1866" width="21.00390625" customWidth="1"/>
    <col min="36" max="36" style="1866" width="8.00390625" customWidth="1"/>
    <col min="37" max="37" style="374" width="8.00390625" customWidth="1"/>
    <col min="38" max="64" style="1866" width="8.00390625" customWidth="1"/>
    <col min="65" max="65" style="1866" width="9.140625" hidden="1"/>
  </cols>
  <sheetData>
    <row s="1332" customFormat="1" customHeight="1" ht="11.25" hidden="1">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5" t="s">
        <v>14</v>
      </c>
    </row>
    <row s="1569" customFormat="1" customHeight="1" ht="11.25" hidden="1">
      <c r="L2" s="1569" t="s">
        <v>432</v>
      </c>
      <c r="M2" s="1569" t="s">
        <v>433</v>
      </c>
      <c r="R2" s="1569" t="s">
        <v>434</v>
      </c>
      <c r="S2" s="1569" t="s">
        <v>433</v>
      </c>
      <c r="X2" s="1569" t="s">
        <v>432</v>
      </c>
      <c r="Y2" s="1569" t="s">
        <v>433</v>
      </c>
      <c r="AD2" s="1569" t="s">
        <v>432</v>
      </c>
      <c r="AE2" s="1569" t="s">
        <v>433</v>
      </c>
      <c r="AJ2" s="1591"/>
      <c r="AK2" s="1591"/>
      <c r="AL2" s="1591"/>
      <c r="AM2" s="1591"/>
      <c r="AN2" s="1591"/>
      <c r="AO2" s="1591"/>
      <c r="AP2" s="1591"/>
      <c r="AQ2" s="1591"/>
      <c r="AR2" s="1591"/>
      <c r="AS2" s="1591"/>
      <c r="AT2" s="1591"/>
      <c r="AU2" s="1591"/>
      <c r="AV2" s="1591"/>
      <c r="AW2" s="1591"/>
      <c r="AX2" s="1591"/>
      <c r="AY2" s="1591"/>
      <c r="AZ2" s="1591"/>
      <c r="BA2" s="1591"/>
      <c r="BB2" s="1591"/>
      <c r="BC2" s="1591"/>
      <c r="BD2" s="1591"/>
      <c r="BE2" s="1591"/>
      <c r="BF2" s="1591"/>
      <c r="BG2" s="1591"/>
      <c r="BH2" s="1591"/>
      <c r="BI2" s="1591"/>
      <c r="BJ2" s="1591"/>
      <c r="BK2" s="1591"/>
      <c r="BL2" s="1591"/>
      <c r="BM2" s="1569">
        <v>0</v>
      </c>
    </row>
    <row s="1570" customFormat="1" customHeight="1" ht="11.549999999999999">
      <c r="AJ3" s="1590"/>
      <c r="AK3" s="322"/>
      <c r="AL3" s="1590"/>
      <c r="AM3" s="1590"/>
      <c r="AN3" s="1590"/>
      <c r="AO3" s="1590"/>
      <c r="AP3" s="1590"/>
      <c r="AQ3" s="1590"/>
      <c r="AR3" s="1590"/>
      <c r="AS3" s="1590"/>
      <c r="AT3" s="1590"/>
      <c r="AU3" s="1590"/>
      <c r="AV3" s="1590"/>
      <c r="AW3" s="1590"/>
      <c r="AX3" s="1590"/>
      <c r="AY3" s="1590"/>
      <c r="AZ3" s="1590"/>
      <c r="BA3" s="1590"/>
      <c r="BB3" s="1590"/>
      <c r="BC3" s="1590"/>
      <c r="BD3" s="1590"/>
      <c r="BE3" s="1590"/>
      <c r="BF3" s="1590"/>
      <c r="BG3" s="1590"/>
      <c r="BH3" s="1590"/>
      <c r="BI3" s="1590"/>
      <c r="BJ3" s="1590"/>
      <c r="BK3" s="1590"/>
      <c r="BL3" s="1590"/>
      <c r="BM3" s="1570">
        <v>11</v>
      </c>
    </row>
    <row s="1835" customFormat="1" customHeight="1" ht="34.5">
      <c r="A4" s="1172"/>
      <c r="B4" s="1171"/>
      <c r="C4" s="1531"/>
      <c r="D4" s="2207" t="s">
        <v>435</v>
      </c>
      <c r="E4" s="2207"/>
      <c r="F4" s="2207"/>
      <c r="G4" s="2207"/>
      <c r="H4" s="2207"/>
      <c r="I4" s="2207"/>
      <c r="J4" s="2207"/>
      <c r="K4" s="715"/>
      <c r="T4" s="1571"/>
      <c r="AJ4" s="1592"/>
      <c r="AK4" s="1593"/>
      <c r="AL4" s="1592"/>
      <c r="AM4" s="1592"/>
      <c r="AN4" s="1592"/>
      <c r="AO4" s="1592"/>
      <c r="AP4" s="1592"/>
      <c r="AQ4" s="1592"/>
      <c r="AR4" s="1592"/>
      <c r="AS4" s="1592"/>
      <c r="AT4" s="1592"/>
      <c r="AU4" s="1592"/>
      <c r="AV4" s="1592"/>
      <c r="AW4" s="1592"/>
      <c r="AX4" s="1592"/>
      <c r="AY4" s="1592"/>
      <c r="AZ4" s="1592"/>
      <c r="BA4" s="1592"/>
      <c r="BB4" s="1592"/>
      <c r="BC4" s="1592"/>
      <c r="BD4" s="1592"/>
      <c r="BE4" s="1592"/>
      <c r="BF4" s="1592"/>
      <c r="BG4" s="1592"/>
      <c r="BH4" s="1592"/>
      <c r="BI4" s="1592"/>
      <c r="BJ4" s="1592"/>
      <c r="BK4" s="1592"/>
      <c r="BL4" s="1592"/>
      <c r="BM4" s="523">
        <v>33</v>
      </c>
    </row>
    <row s="1835" customFormat="1" customHeight="1" ht="14.699999999999998">
      <c r="A5" s="1648"/>
      <c r="B5" s="1647"/>
      <c r="C5" s="1531"/>
      <c r="D5" s="2192" t="str">
        <f>IF(org=0,"Не определено",org)</f>
        <v>КГУП "Примтеплоэнерго"</v>
      </c>
      <c r="E5" s="2192"/>
      <c r="F5" s="2192"/>
      <c r="G5" s="2192"/>
      <c r="H5" s="2192"/>
      <c r="I5" s="2192"/>
      <c r="J5" s="2192"/>
      <c r="K5" s="715"/>
      <c r="T5" s="1571"/>
      <c r="AJ5" s="1592"/>
      <c r="AK5" s="1593"/>
      <c r="AL5" s="1592"/>
      <c r="AM5" s="1592"/>
      <c r="AN5" s="1592"/>
      <c r="AO5" s="1592"/>
      <c r="AP5" s="1592"/>
      <c r="AQ5" s="1592"/>
      <c r="AR5" s="1592"/>
      <c r="AS5" s="1592"/>
      <c r="AT5" s="1592"/>
      <c r="AU5" s="1592"/>
      <c r="AV5" s="1592"/>
      <c r="AW5" s="1592"/>
      <c r="AX5" s="1592"/>
      <c r="AY5" s="1592"/>
      <c r="AZ5" s="1592"/>
      <c r="BA5" s="1592"/>
      <c r="BB5" s="1592"/>
      <c r="BC5" s="1592"/>
      <c r="BD5" s="1592"/>
      <c r="BE5" s="1592"/>
      <c r="BF5" s="1592"/>
      <c r="BG5" s="1592"/>
      <c r="BH5" s="1592"/>
      <c r="BI5" s="1592"/>
      <c r="BJ5" s="1592"/>
      <c r="BK5" s="1592"/>
      <c r="BL5" s="1592"/>
      <c r="BM5" s="1625">
        <v>14</v>
      </c>
    </row>
    <row s="1835" customFormat="1" customHeight="1" ht="14.699999999999998">
      <c r="A6" s="1172"/>
      <c r="B6" s="1171"/>
      <c r="C6" s="1531"/>
      <c r="D6" s="715"/>
      <c r="E6" s="715"/>
      <c r="F6" s="715"/>
      <c r="G6" s="715"/>
      <c r="H6" s="715"/>
      <c r="I6" s="715"/>
      <c r="J6" s="715"/>
      <c r="K6" s="715"/>
      <c r="T6" s="1571"/>
      <c r="AJ6" s="1592"/>
      <c r="AK6" s="1593"/>
      <c r="AL6" s="1592"/>
      <c r="AM6" s="1592"/>
      <c r="AN6" s="1592"/>
      <c r="AO6" s="1592"/>
      <c r="AP6" s="1592"/>
      <c r="AQ6" s="1592"/>
      <c r="AR6" s="1592"/>
      <c r="AS6" s="1592"/>
      <c r="AT6" s="1592"/>
      <c r="AU6" s="1592"/>
      <c r="AV6" s="1592"/>
      <c r="AW6" s="1592"/>
      <c r="AX6" s="1592"/>
      <c r="AY6" s="1592"/>
      <c r="AZ6" s="1592"/>
      <c r="BA6" s="1592"/>
      <c r="BB6" s="1592"/>
      <c r="BC6" s="1592"/>
      <c r="BD6" s="1592"/>
      <c r="BE6" s="1592"/>
      <c r="BF6" s="1592"/>
      <c r="BG6" s="1592"/>
      <c r="BH6" s="1592"/>
      <c r="BI6" s="1592"/>
      <c r="BJ6" s="1592"/>
      <c r="BK6" s="1592"/>
      <c r="BL6" s="1592"/>
      <c r="BM6" s="523">
        <v>14</v>
      </c>
    </row>
    <row s="1332" customFormat="1" customHeight="1" ht="1.05">
      <c r="AJ7" s="438"/>
      <c r="AK7" s="438"/>
      <c r="AL7" s="438"/>
      <c r="AM7" s="438"/>
      <c r="AN7" s="438"/>
      <c r="AO7" s="438"/>
      <c r="AP7" s="438"/>
      <c r="AQ7" s="438"/>
      <c r="AR7" s="438"/>
      <c r="AS7" s="438"/>
      <c r="AT7" s="438"/>
      <c r="AU7" s="438"/>
      <c r="AV7" s="438"/>
      <c r="AW7" s="438"/>
      <c r="AX7" s="438"/>
      <c r="AY7" s="438"/>
      <c r="AZ7" s="438"/>
      <c r="BA7" s="438"/>
      <c r="BB7" s="438"/>
      <c r="BC7" s="438"/>
      <c r="BD7" s="438"/>
      <c r="BE7" s="438"/>
      <c r="BF7" s="438"/>
      <c r="BG7" s="438"/>
      <c r="BH7" s="438"/>
      <c r="BI7" s="438"/>
      <c r="BJ7" s="438"/>
      <c r="BK7" s="438"/>
      <c r="BL7" s="438"/>
      <c r="BM7" s="435">
        <v>1</v>
      </c>
    </row>
    <row customHeight="1" ht="33.75">
      <c r="D8" s="2143" t="s">
        <v>91</v>
      </c>
      <c r="E8" s="2143" t="s">
        <v>178</v>
      </c>
      <c r="F8" s="2208" t="s">
        <v>191</v>
      </c>
      <c r="G8" s="2209"/>
      <c r="H8" s="2208" t="s">
        <v>91</v>
      </c>
      <c r="I8" s="2209"/>
      <c r="J8" s="2143" t="s">
        <v>192</v>
      </c>
      <c r="K8" s="1572"/>
      <c r="L8" s="2212" t="s">
        <v>436</v>
      </c>
      <c r="M8" s="2212"/>
      <c r="N8" s="2212"/>
      <c r="O8" s="2212"/>
      <c r="P8" s="2212"/>
      <c r="Q8" s="1573"/>
      <c r="R8" s="2112" t="s">
        <v>437</v>
      </c>
      <c r="S8" s="2213"/>
      <c r="T8" s="2213"/>
      <c r="U8" s="2213"/>
      <c r="V8" s="2213"/>
      <c r="W8" s="1573"/>
      <c r="X8" s="2214" t="s">
        <v>438</v>
      </c>
      <c r="Y8" s="2214"/>
      <c r="Z8" s="2214"/>
      <c r="AA8" s="2214"/>
      <c r="AB8" s="2214"/>
      <c r="AC8" s="1574"/>
      <c r="AD8" s="2143" t="s">
        <v>439</v>
      </c>
      <c r="AE8" s="2143"/>
      <c r="AF8" s="2143"/>
      <c r="AG8" s="2143"/>
      <c r="AH8" s="2117"/>
      <c r="AI8" s="2143" t="s">
        <v>440</v>
      </c>
      <c r="AJ8" s="1590"/>
      <c r="BM8" s="309">
        <v>32</v>
      </c>
    </row>
    <row customHeight="1" ht="23.25">
      <c r="D9" s="2143"/>
      <c r="E9" s="2143"/>
      <c r="F9" s="2191" t="s">
        <v>92</v>
      </c>
      <c r="G9" s="2191" t="s">
        <v>197</v>
      </c>
      <c r="H9" s="2210"/>
      <c r="I9" s="2211"/>
      <c r="J9" s="2117"/>
      <c r="K9" s="1575"/>
      <c r="L9" s="2143" t="s">
        <v>441</v>
      </c>
      <c r="M9" s="2117"/>
      <c r="N9" s="2208" t="s">
        <v>91</v>
      </c>
      <c r="O9" s="2209"/>
      <c r="P9" s="2143" t="s">
        <v>198</v>
      </c>
      <c r="Q9" s="1572"/>
      <c r="R9" s="2143" t="s">
        <v>441</v>
      </c>
      <c r="S9" s="2117"/>
      <c r="T9" s="2208" t="s">
        <v>91</v>
      </c>
      <c r="U9" s="2209"/>
      <c r="V9" s="2143" t="s">
        <v>198</v>
      </c>
      <c r="W9" s="1572"/>
      <c r="X9" s="2143" t="s">
        <v>441</v>
      </c>
      <c r="Y9" s="2117"/>
      <c r="Z9" s="2208" t="s">
        <v>91</v>
      </c>
      <c r="AA9" s="2209"/>
      <c r="AB9" s="2143" t="s">
        <v>442</v>
      </c>
      <c r="AC9" s="1572"/>
      <c r="AD9" s="2143" t="s">
        <v>441</v>
      </c>
      <c r="AE9" s="2117"/>
      <c r="AF9" s="2208" t="s">
        <v>91</v>
      </c>
      <c r="AG9" s="2209"/>
      <c r="AH9" s="2117" t="s">
        <v>442</v>
      </c>
      <c r="AI9" s="2143"/>
      <c r="AJ9" s="1590"/>
      <c r="BM9" s="309">
        <v>22</v>
      </c>
    </row>
    <row customHeight="1" ht="24">
      <c r="D10" s="2191"/>
      <c r="E10" s="2191"/>
      <c r="F10" s="2215"/>
      <c r="G10" s="2215"/>
      <c r="H10" s="2216"/>
      <c r="I10" s="2217"/>
      <c r="J10" s="2208"/>
      <c r="K10" s="1575"/>
      <c r="L10" s="1594" t="s">
        <v>443</v>
      </c>
      <c r="M10" s="1589" t="s">
        <v>444</v>
      </c>
      <c r="N10" s="2210"/>
      <c r="O10" s="2211"/>
      <c r="P10" s="2191"/>
      <c r="Q10" s="1572"/>
      <c r="R10" s="1594" t="s">
        <v>443</v>
      </c>
      <c r="S10" s="1589" t="s">
        <v>444</v>
      </c>
      <c r="T10" s="2210"/>
      <c r="U10" s="2211"/>
      <c r="V10" s="2191"/>
      <c r="W10" s="1572"/>
      <c r="X10" s="1594" t="s">
        <v>443</v>
      </c>
      <c r="Y10" s="1589" t="s">
        <v>444</v>
      </c>
      <c r="Z10" s="2210"/>
      <c r="AA10" s="2211"/>
      <c r="AB10" s="2191"/>
      <c r="AC10" s="1572"/>
      <c r="AD10" s="1594" t="s">
        <v>443</v>
      </c>
      <c r="AE10" s="1589" t="s">
        <v>444</v>
      </c>
      <c r="AF10" s="2210"/>
      <c r="AG10" s="2211"/>
      <c r="AH10" s="2208"/>
      <c r="AI10" s="2191"/>
      <c r="AJ10" s="1590"/>
      <c r="AK10" s="270" t="s">
        <v>445</v>
      </c>
      <c r="AL10" s="270" t="s">
        <v>199</v>
      </c>
      <c r="BM10" s="309">
        <v>23</v>
      </c>
    </row>
    <row customHeight="1" ht="15">
      <c r="D11" s="2199" t="s">
        <v>141</v>
      </c>
      <c r="E11" s="2195" t="s">
        <v>446</v>
      </c>
      <c r="F11" s="2195" t="s">
        <v>447</v>
      </c>
      <c r="G11" s="2201" t="s">
        <v>19</v>
      </c>
      <c r="H11" s="1615"/>
      <c r="I11" s="2197"/>
      <c r="J11" s="2168"/>
      <c r="K11" s="1530"/>
      <c r="L11" s="2153"/>
      <c r="M11" s="2153"/>
      <c r="N11" s="1600"/>
      <c r="O11" s="2153"/>
      <c r="P11" s="2168"/>
      <c r="Q11" s="1601"/>
      <c r="R11" s="2153"/>
      <c r="S11" s="2153"/>
      <c r="T11" s="1602"/>
      <c r="U11" s="2153"/>
      <c r="V11" s="2168"/>
      <c r="W11" s="1603"/>
      <c r="X11" s="2153"/>
      <c r="Y11" s="2153"/>
      <c r="Z11" s="1600"/>
      <c r="AA11" s="2153"/>
      <c r="AB11" s="2168"/>
      <c r="AC11" s="1604"/>
      <c r="AD11" s="2153"/>
      <c r="AE11" s="2153"/>
      <c r="AF11" s="1529"/>
      <c r="AG11" s="1529"/>
      <c r="AH11" s="1605"/>
      <c r="AI11" s="1312"/>
      <c r="AJ11" s="1590"/>
      <c r="BM11" s="309">
        <v>14</v>
      </c>
    </row>
    <row customHeight="1" ht="14.699999999999998">
      <c r="D12" s="2199"/>
      <c r="E12" s="2195"/>
      <c r="F12" s="2195"/>
      <c r="G12" s="2202"/>
      <c r="H12" s="1616"/>
      <c r="I12" s="2198"/>
      <c r="J12" s="2169"/>
      <c r="K12" s="1626"/>
      <c r="L12" s="2154"/>
      <c r="M12" s="2154"/>
      <c r="N12" s="1606"/>
      <c r="O12" s="2154"/>
      <c r="P12" s="2169"/>
      <c r="Q12" s="1607"/>
      <c r="R12" s="2154"/>
      <c r="S12" s="2154"/>
      <c r="T12" s="1608"/>
      <c r="U12" s="2154"/>
      <c r="V12" s="2169"/>
      <c r="W12" s="1609"/>
      <c r="X12" s="2154"/>
      <c r="Y12" s="2154"/>
      <c r="Z12" s="1606"/>
      <c r="AA12" s="2154"/>
      <c r="AB12" s="2169"/>
      <c r="AC12" s="1610"/>
      <c r="AD12" s="2154"/>
      <c r="AE12" s="2154"/>
      <c r="AF12" s="1611"/>
      <c r="AG12" s="1611"/>
      <c r="AH12" s="2193"/>
      <c r="AI12" s="2194"/>
      <c r="AJ12" s="1590"/>
      <c r="BM12" s="309">
        <v>14</v>
      </c>
    </row>
    <row customHeight="1" ht="14.699999999999998">
      <c r="D13" s="2199"/>
      <c r="E13" s="2195"/>
      <c r="F13" s="2195"/>
      <c r="G13" s="2202"/>
      <c r="H13" s="1616"/>
      <c r="I13" s="2198"/>
      <c r="J13" s="2169"/>
      <c r="K13" s="1626"/>
      <c r="L13" s="2154"/>
      <c r="M13" s="2154"/>
      <c r="N13" s="1606"/>
      <c r="O13" s="2154"/>
      <c r="P13" s="2169"/>
      <c r="Q13" s="1607"/>
      <c r="R13" s="2154"/>
      <c r="S13" s="2154"/>
      <c r="T13" s="1608"/>
      <c r="U13" s="2154"/>
      <c r="V13" s="2169"/>
      <c r="W13" s="1609"/>
      <c r="X13" s="2154"/>
      <c r="Y13" s="2154"/>
      <c r="Z13" s="1528"/>
      <c r="AA13" s="1611"/>
      <c r="AB13" s="2193"/>
      <c r="AC13" s="2193"/>
      <c r="AD13" s="2193"/>
      <c r="AE13" s="2193"/>
      <c r="AF13" s="2193"/>
      <c r="AG13" s="2193"/>
      <c r="AH13" s="2193"/>
      <c r="AI13" s="2194"/>
      <c r="AJ13" s="1590"/>
      <c r="BM13" s="309">
        <v>14</v>
      </c>
    </row>
    <row customHeight="1" ht="14.699999999999998">
      <c r="D14" s="2199"/>
      <c r="E14" s="2195"/>
      <c r="F14" s="2195"/>
      <c r="G14" s="2202"/>
      <c r="H14" s="1616"/>
      <c r="I14" s="2198"/>
      <c r="J14" s="2169"/>
      <c r="K14" s="1626"/>
      <c r="L14" s="2154"/>
      <c r="M14" s="2154"/>
      <c r="N14" s="1606"/>
      <c r="O14" s="2154"/>
      <c r="P14" s="2169"/>
      <c r="Q14" s="1607"/>
      <c r="R14" s="2154"/>
      <c r="S14" s="2154"/>
      <c r="T14" s="1612"/>
      <c r="U14" s="1613"/>
      <c r="V14" s="2193"/>
      <c r="W14" s="2193"/>
      <c r="X14" s="2193"/>
      <c r="Y14" s="2193"/>
      <c r="Z14" s="2193"/>
      <c r="AA14" s="2193"/>
      <c r="AB14" s="2193"/>
      <c r="AC14" s="2193"/>
      <c r="AD14" s="2193"/>
      <c r="AE14" s="2193"/>
      <c r="AF14" s="2193"/>
      <c r="AG14" s="2193"/>
      <c r="AH14" s="2193"/>
      <c r="AI14" s="2194"/>
      <c r="AJ14" s="1590"/>
      <c r="BM14" s="309">
        <v>14</v>
      </c>
    </row>
    <row customHeight="1" ht="11.549999999999999">
      <c r="D15" s="2199"/>
      <c r="E15" s="2195"/>
      <c r="F15" s="2195"/>
      <c r="G15" s="2202"/>
      <c r="H15" s="1617"/>
      <c r="I15" s="2198"/>
      <c r="J15" s="2169"/>
      <c r="K15" s="1626"/>
      <c r="L15" s="2154"/>
      <c r="M15" s="2154"/>
      <c r="N15" s="1611"/>
      <c r="O15" s="1611"/>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90"/>
      <c r="BM15" s="309">
        <v>11</v>
      </c>
    </row>
    <row s="1570" customFormat="1" customHeight="1" ht="11.549999999999999">
      <c r="D16" s="2205"/>
      <c r="E16" s="2206"/>
      <c r="F16" s="2196"/>
      <c r="G16" s="2128"/>
      <c r="H16" s="1614"/>
      <c r="I16" s="1618"/>
      <c r="J16" s="2203"/>
      <c r="K16" s="2203"/>
      <c r="L16" s="2203"/>
      <c r="M16" s="2203"/>
      <c r="N16" s="2203"/>
      <c r="O16" s="2203"/>
      <c r="P16" s="2203"/>
      <c r="Q16" s="2203"/>
      <c r="R16" s="2203"/>
      <c r="S16" s="2203"/>
      <c r="T16" s="2203"/>
      <c r="U16" s="2203"/>
      <c r="V16" s="2203"/>
      <c r="W16" s="2203"/>
      <c r="X16" s="2203"/>
      <c r="Y16" s="2203"/>
      <c r="Z16" s="2203"/>
      <c r="AA16" s="2203"/>
      <c r="AB16" s="2203"/>
      <c r="AC16" s="2203"/>
      <c r="AD16" s="2203"/>
      <c r="AE16" s="2203"/>
      <c r="AF16" s="2203"/>
      <c r="AG16" s="2203"/>
      <c r="AH16" s="2203"/>
      <c r="AI16" s="2204"/>
      <c r="AJ16" s="1590"/>
      <c r="AK16" s="322"/>
      <c r="AL16" s="1590"/>
      <c r="AM16" s="1590"/>
      <c r="AN16" s="1590"/>
      <c r="AO16" s="1590"/>
      <c r="AP16" s="1590"/>
      <c r="AQ16" s="1590"/>
      <c r="AR16" s="1590"/>
      <c r="AS16" s="1590"/>
      <c r="AT16" s="1590"/>
      <c r="AU16" s="1590"/>
      <c r="AV16" s="1590"/>
      <c r="AW16" s="1590"/>
      <c r="AX16" s="1590"/>
      <c r="AY16" s="1590"/>
      <c r="AZ16" s="1590"/>
      <c r="BA16" s="1590"/>
      <c r="BB16" s="1590"/>
      <c r="BC16" s="1590"/>
      <c r="BD16" s="1590"/>
      <c r="BE16" s="1590"/>
      <c r="BF16" s="1590"/>
      <c r="BG16" s="1590"/>
      <c r="BH16" s="1590"/>
      <c r="BI16" s="1590"/>
      <c r="BJ16" s="1590"/>
      <c r="BK16" s="1590"/>
      <c r="BL16" s="1590"/>
      <c r="BM16" s="1570">
        <v>11</v>
      </c>
    </row>
    <row customHeight="1" ht="15">
      <c r="D17" s="2199" t="s">
        <v>107</v>
      </c>
      <c r="E17" s="2195" t="s">
        <v>446</v>
      </c>
      <c r="F17" s="2195" t="s">
        <v>448</v>
      </c>
      <c r="G17" s="2201" t="s">
        <v>19</v>
      </c>
      <c r="H17" s="1615"/>
      <c r="I17" s="2197"/>
      <c r="J17" s="2168"/>
      <c r="K17" s="1530"/>
      <c r="L17" s="2153"/>
      <c r="M17" s="2153"/>
      <c r="N17" s="1600"/>
      <c r="O17" s="2153"/>
      <c r="P17" s="2168"/>
      <c r="Q17" s="1601"/>
      <c r="R17" s="2153"/>
      <c r="S17" s="2153"/>
      <c r="T17" s="1602"/>
      <c r="U17" s="2153"/>
      <c r="V17" s="2168"/>
      <c r="W17" s="1603"/>
      <c r="X17" s="2153"/>
      <c r="Y17" s="2153"/>
      <c r="Z17" s="1600"/>
      <c r="AA17" s="2153"/>
      <c r="AB17" s="2168"/>
      <c r="AC17" s="1604"/>
      <c r="AD17" s="2153"/>
      <c r="AE17" s="2153"/>
      <c r="AF17" s="1529"/>
      <c r="AG17" s="1529"/>
      <c r="AH17" s="1605"/>
      <c r="AI17" s="1312"/>
      <c r="AJ17" s="1590"/>
      <c r="BM17" s="309">
        <v>14</v>
      </c>
    </row>
    <row customHeight="1" ht="14.699999999999998">
      <c r="D18" s="2199"/>
      <c r="E18" s="2195"/>
      <c r="F18" s="2195"/>
      <c r="G18" s="2202"/>
      <c r="H18" s="1616"/>
      <c r="I18" s="2198"/>
      <c r="J18" s="2169"/>
      <c r="K18" s="1599"/>
      <c r="L18" s="2154"/>
      <c r="M18" s="2154"/>
      <c r="N18" s="1606"/>
      <c r="O18" s="2154"/>
      <c r="P18" s="2169"/>
      <c r="Q18" s="1607"/>
      <c r="R18" s="2154"/>
      <c r="S18" s="2154"/>
      <c r="T18" s="1608"/>
      <c r="U18" s="2154"/>
      <c r="V18" s="2169"/>
      <c r="W18" s="1609"/>
      <c r="X18" s="2154"/>
      <c r="Y18" s="2154"/>
      <c r="Z18" s="1606"/>
      <c r="AA18" s="2154"/>
      <c r="AB18" s="2169"/>
      <c r="AC18" s="1610"/>
      <c r="AD18" s="2154"/>
      <c r="AE18" s="2154"/>
      <c r="AF18" s="1611"/>
      <c r="AG18" s="1611"/>
      <c r="AH18" s="2193"/>
      <c r="AI18" s="2194"/>
      <c r="AJ18" s="1590"/>
      <c r="BM18" s="309">
        <v>14</v>
      </c>
    </row>
    <row customHeight="1" ht="14.699999999999998">
      <c r="D19" s="2199"/>
      <c r="E19" s="2195"/>
      <c r="F19" s="2195"/>
      <c r="G19" s="2202"/>
      <c r="H19" s="1616"/>
      <c r="I19" s="2198"/>
      <c r="J19" s="2169"/>
      <c r="K19" s="1599"/>
      <c r="L19" s="2154"/>
      <c r="M19" s="2154"/>
      <c r="N19" s="1606"/>
      <c r="O19" s="2154"/>
      <c r="P19" s="2169"/>
      <c r="Q19" s="1607"/>
      <c r="R19" s="2154"/>
      <c r="S19" s="2154"/>
      <c r="T19" s="1608"/>
      <c r="U19" s="2154"/>
      <c r="V19" s="2169"/>
      <c r="W19" s="1609"/>
      <c r="X19" s="2154"/>
      <c r="Y19" s="2154"/>
      <c r="Z19" s="1528"/>
      <c r="AA19" s="1611"/>
      <c r="AB19" s="2193"/>
      <c r="AC19" s="2193"/>
      <c r="AD19" s="2193"/>
      <c r="AE19" s="2193"/>
      <c r="AF19" s="2193"/>
      <c r="AG19" s="2193"/>
      <c r="AH19" s="2193"/>
      <c r="AI19" s="2194"/>
      <c r="AJ19" s="1590"/>
      <c r="BM19" s="309">
        <v>14</v>
      </c>
    </row>
    <row customHeight="1" ht="14.699999999999998">
      <c r="D20" s="2199"/>
      <c r="E20" s="2195"/>
      <c r="F20" s="2195"/>
      <c r="G20" s="2202"/>
      <c r="H20" s="1616"/>
      <c r="I20" s="2198"/>
      <c r="J20" s="2169"/>
      <c r="K20" s="1599"/>
      <c r="L20" s="2154"/>
      <c r="M20" s="2154"/>
      <c r="N20" s="1606"/>
      <c r="O20" s="2154"/>
      <c r="P20" s="2169"/>
      <c r="Q20" s="1607"/>
      <c r="R20" s="2154"/>
      <c r="S20" s="2154"/>
      <c r="T20" s="1612"/>
      <c r="U20" s="1613"/>
      <c r="V20" s="2193"/>
      <c r="W20" s="2193"/>
      <c r="X20" s="2193"/>
      <c r="Y20" s="2193"/>
      <c r="Z20" s="2193"/>
      <c r="AA20" s="2193"/>
      <c r="AB20" s="2193"/>
      <c r="AC20" s="2193"/>
      <c r="AD20" s="2193"/>
      <c r="AE20" s="2193"/>
      <c r="AF20" s="2193"/>
      <c r="AG20" s="2193"/>
      <c r="AH20" s="2193"/>
      <c r="AI20" s="2194"/>
      <c r="AJ20" s="1590"/>
      <c r="BM20" s="309">
        <v>14</v>
      </c>
    </row>
    <row customHeight="1" ht="11.549999999999999">
      <c r="D21" s="2199"/>
      <c r="E21" s="2195"/>
      <c r="F21" s="2195"/>
      <c r="G21" s="2202"/>
      <c r="H21" s="1617"/>
      <c r="I21" s="2198"/>
      <c r="J21" s="2169"/>
      <c r="K21" s="1599"/>
      <c r="L21" s="2154"/>
      <c r="M21" s="2154"/>
      <c r="N21" s="1611"/>
      <c r="O21" s="1611"/>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90"/>
      <c r="BM21" s="309">
        <v>11</v>
      </c>
    </row>
    <row s="1570" customFormat="1" customHeight="1" ht="11.549999999999999">
      <c r="D22" s="2205"/>
      <c r="E22" s="2206"/>
      <c r="F22" s="2196"/>
      <c r="G22" s="2128"/>
      <c r="H22" s="1614"/>
      <c r="I22" s="1618"/>
      <c r="J22" s="2203"/>
      <c r="K22" s="2203"/>
      <c r="L22" s="2203"/>
      <c r="M22" s="2203"/>
      <c r="N22" s="2203"/>
      <c r="O22" s="2203"/>
      <c r="P22" s="2203"/>
      <c r="Q22" s="2203"/>
      <c r="R22" s="2203"/>
      <c r="S22" s="2203"/>
      <c r="T22" s="2203"/>
      <c r="U22" s="2203"/>
      <c r="V22" s="2203"/>
      <c r="W22" s="2203"/>
      <c r="X22" s="2203"/>
      <c r="Y22" s="2203"/>
      <c r="Z22" s="2203"/>
      <c r="AA22" s="2203"/>
      <c r="AB22" s="2203"/>
      <c r="AC22" s="2203"/>
      <c r="AD22" s="2203"/>
      <c r="AE22" s="2203"/>
      <c r="AF22" s="2203"/>
      <c r="AG22" s="2203"/>
      <c r="AH22" s="2203"/>
      <c r="AI22" s="2204"/>
      <c r="AJ22" s="1590"/>
      <c r="AK22" s="322"/>
      <c r="AL22" s="1590"/>
      <c r="AM22" s="1590"/>
      <c r="AN22" s="1590"/>
      <c r="AO22" s="1590"/>
      <c r="AP22" s="1590"/>
      <c r="AQ22" s="1590"/>
      <c r="AR22" s="1590"/>
      <c r="AS22" s="1590"/>
      <c r="AT22" s="1590"/>
      <c r="AU22" s="1590"/>
      <c r="AV22" s="1590"/>
      <c r="AW22" s="1590"/>
      <c r="AX22" s="1590"/>
      <c r="AY22" s="1590"/>
      <c r="AZ22" s="1590"/>
      <c r="BA22" s="1590"/>
      <c r="BB22" s="1590"/>
      <c r="BC22" s="1590"/>
      <c r="BD22" s="1590"/>
      <c r="BE22" s="1590"/>
      <c r="BF22" s="1590"/>
      <c r="BG22" s="1590"/>
      <c r="BH22" s="1590"/>
      <c r="BI22" s="1590"/>
      <c r="BJ22" s="1590"/>
      <c r="BK22" s="1590"/>
      <c r="BL22" s="1590"/>
      <c r="BM22" s="1570">
        <v>11</v>
      </c>
    </row>
    <row customHeight="1" ht="15">
      <c r="D23" s="2199" t="s">
        <v>93</v>
      </c>
      <c r="E23" s="2195" t="s">
        <v>446</v>
      </c>
      <c r="F23" s="2195" t="s">
        <v>449</v>
      </c>
      <c r="G23" s="2201" t="s">
        <v>19</v>
      </c>
      <c r="H23" s="1615"/>
      <c r="I23" s="2197"/>
      <c r="J23" s="2168"/>
      <c r="K23" s="1530"/>
      <c r="L23" s="2153"/>
      <c r="M23" s="2153"/>
      <c r="N23" s="1600"/>
      <c r="O23" s="2153"/>
      <c r="P23" s="2168"/>
      <c r="Q23" s="1601"/>
      <c r="R23" s="2153"/>
      <c r="S23" s="2153"/>
      <c r="T23" s="1602"/>
      <c r="U23" s="2153"/>
      <c r="V23" s="2168"/>
      <c r="W23" s="1603"/>
      <c r="X23" s="2153"/>
      <c r="Y23" s="2153"/>
      <c r="Z23" s="1600"/>
      <c r="AA23" s="2153"/>
      <c r="AB23" s="2168"/>
      <c r="AC23" s="1604"/>
      <c r="AD23" s="2153"/>
      <c r="AE23" s="2153"/>
      <c r="AF23" s="1529"/>
      <c r="AG23" s="1529"/>
      <c r="AH23" s="1605"/>
      <c r="AI23" s="1312"/>
      <c r="AJ23" s="1590"/>
      <c r="AK23" s="322" t="s">
        <v>101</v>
      </c>
      <c r="BM23" s="309">
        <v>14</v>
      </c>
    </row>
    <row customHeight="1" ht="14.699999999999998">
      <c r="D24" s="2199"/>
      <c r="E24" s="2195"/>
      <c r="F24" s="2195"/>
      <c r="G24" s="2202"/>
      <c r="H24" s="1616"/>
      <c r="I24" s="2198"/>
      <c r="J24" s="2169"/>
      <c r="K24" s="1626"/>
      <c r="L24" s="2154"/>
      <c r="M24" s="2154"/>
      <c r="N24" s="1606"/>
      <c r="O24" s="2154"/>
      <c r="P24" s="2169"/>
      <c r="Q24" s="1607"/>
      <c r="R24" s="2154"/>
      <c r="S24" s="2154"/>
      <c r="T24" s="1608"/>
      <c r="U24" s="2154"/>
      <c r="V24" s="2169"/>
      <c r="W24" s="1609"/>
      <c r="X24" s="2154"/>
      <c r="Y24" s="2154"/>
      <c r="Z24" s="1606"/>
      <c r="AA24" s="2154"/>
      <c r="AB24" s="2169"/>
      <c r="AC24" s="1610"/>
      <c r="AD24" s="2154"/>
      <c r="AE24" s="2154"/>
      <c r="AF24" s="1611"/>
      <c r="AG24" s="1611"/>
      <c r="AH24" s="2193"/>
      <c r="AI24" s="2194"/>
      <c r="AJ24" s="1590"/>
      <c r="BM24" s="309">
        <v>14</v>
      </c>
    </row>
    <row customHeight="1" ht="14.699999999999998">
      <c r="D25" s="2199"/>
      <c r="E25" s="2195"/>
      <c r="F25" s="2195"/>
      <c r="G25" s="2202"/>
      <c r="H25" s="1616"/>
      <c r="I25" s="2198"/>
      <c r="J25" s="2169"/>
      <c r="K25" s="1626"/>
      <c r="L25" s="2154"/>
      <c r="M25" s="2154"/>
      <c r="N25" s="1606"/>
      <c r="O25" s="2154"/>
      <c r="P25" s="2169"/>
      <c r="Q25" s="1607"/>
      <c r="R25" s="2154"/>
      <c r="S25" s="2154"/>
      <c r="T25" s="1608"/>
      <c r="U25" s="2154"/>
      <c r="V25" s="2169"/>
      <c r="W25" s="1609"/>
      <c r="X25" s="2154"/>
      <c r="Y25" s="2154"/>
      <c r="Z25" s="1528"/>
      <c r="AA25" s="1611"/>
      <c r="AB25" s="2193"/>
      <c r="AC25" s="2193"/>
      <c r="AD25" s="2193"/>
      <c r="AE25" s="2193"/>
      <c r="AF25" s="2193"/>
      <c r="AG25" s="2193"/>
      <c r="AH25" s="2193"/>
      <c r="AI25" s="2194"/>
      <c r="AJ25" s="1590"/>
      <c r="BM25" s="309">
        <v>14</v>
      </c>
    </row>
    <row customHeight="1" ht="14.699999999999998">
      <c r="D26" s="2199"/>
      <c r="E26" s="2195"/>
      <c r="F26" s="2195"/>
      <c r="G26" s="2202"/>
      <c r="H26" s="1616"/>
      <c r="I26" s="2198"/>
      <c r="J26" s="2169"/>
      <c r="K26" s="1626"/>
      <c r="L26" s="2154"/>
      <c r="M26" s="2154"/>
      <c r="N26" s="1606"/>
      <c r="O26" s="2154"/>
      <c r="P26" s="2169"/>
      <c r="Q26" s="1607"/>
      <c r="R26" s="2154"/>
      <c r="S26" s="2154"/>
      <c r="T26" s="1612"/>
      <c r="U26" s="1613"/>
      <c r="V26" s="2193"/>
      <c r="W26" s="2193"/>
      <c r="X26" s="2193"/>
      <c r="Y26" s="2193"/>
      <c r="Z26" s="2193"/>
      <c r="AA26" s="2193"/>
      <c r="AB26" s="2193"/>
      <c r="AC26" s="2193"/>
      <c r="AD26" s="2193"/>
      <c r="AE26" s="2193"/>
      <c r="AF26" s="2193"/>
      <c r="AG26" s="2193"/>
      <c r="AH26" s="2193"/>
      <c r="AI26" s="2194"/>
      <c r="AJ26" s="1590"/>
      <c r="BM26" s="309">
        <v>14</v>
      </c>
    </row>
    <row customHeight="1" ht="11.549999999999999">
      <c r="D27" s="2199"/>
      <c r="E27" s="2195"/>
      <c r="F27" s="2195"/>
      <c r="G27" s="2202"/>
      <c r="H27" s="1617"/>
      <c r="I27" s="2198"/>
      <c r="J27" s="2169"/>
      <c r="K27" s="1626"/>
      <c r="L27" s="2154"/>
      <c r="M27" s="2154"/>
      <c r="N27" s="1611"/>
      <c r="O27" s="1611"/>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90"/>
      <c r="BM27" s="309">
        <v>11</v>
      </c>
    </row>
    <row s="1570" customFormat="1" customHeight="1" ht="11.549999999999999">
      <c r="D28" s="2205"/>
      <c r="E28" s="2206"/>
      <c r="F28" s="2196"/>
      <c r="G28" s="2128"/>
      <c r="H28" s="1614"/>
      <c r="I28" s="1618"/>
      <c r="J28" s="2203"/>
      <c r="K28" s="2203"/>
      <c r="L28" s="2203"/>
      <c r="M28" s="2203"/>
      <c r="N28" s="2203"/>
      <c r="O28" s="2203"/>
      <c r="P28" s="2203"/>
      <c r="Q28" s="2203"/>
      <c r="R28" s="2203"/>
      <c r="S28" s="2203"/>
      <c r="T28" s="2203"/>
      <c r="U28" s="2203"/>
      <c r="V28" s="2203"/>
      <c r="W28" s="2203"/>
      <c r="X28" s="2203"/>
      <c r="Y28" s="2203"/>
      <c r="Z28" s="2203"/>
      <c r="AA28" s="2203"/>
      <c r="AB28" s="2203"/>
      <c r="AC28" s="2203"/>
      <c r="AD28" s="2203"/>
      <c r="AE28" s="2203"/>
      <c r="AF28" s="2203"/>
      <c r="AG28" s="2203"/>
      <c r="AH28" s="2203"/>
      <c r="AI28" s="2204"/>
      <c r="AJ28" s="1590"/>
      <c r="AK28" s="322"/>
      <c r="AL28" s="1590"/>
      <c r="AM28" s="1590"/>
      <c r="AN28" s="1590"/>
      <c r="AO28" s="1590"/>
      <c r="AP28" s="1590"/>
      <c r="AQ28" s="1590"/>
      <c r="AR28" s="1590"/>
      <c r="AS28" s="1590"/>
      <c r="AT28" s="1590"/>
      <c r="AU28" s="1590"/>
      <c r="AV28" s="1590"/>
      <c r="AW28" s="1590"/>
      <c r="AX28" s="1590"/>
      <c r="AY28" s="1590"/>
      <c r="AZ28" s="1590"/>
      <c r="BA28" s="1590"/>
      <c r="BB28" s="1590"/>
      <c r="BC28" s="1590"/>
      <c r="BD28" s="1590"/>
      <c r="BE28" s="1590"/>
      <c r="BF28" s="1590"/>
      <c r="BG28" s="1590"/>
      <c r="BH28" s="1590"/>
      <c r="BI28" s="1590"/>
      <c r="BJ28" s="1590"/>
      <c r="BK28" s="1590"/>
      <c r="BL28" s="1590"/>
      <c r="BM28" s="1570">
        <v>11</v>
      </c>
    </row>
    <row customHeight="1" ht="15">
      <c r="D29" s="2199" t="s">
        <v>94</v>
      </c>
      <c r="E29" s="2195" t="s">
        <v>446</v>
      </c>
      <c r="F29" s="2195" t="s">
        <v>450</v>
      </c>
      <c r="G29" s="2201" t="s">
        <v>19</v>
      </c>
      <c r="H29" s="1615"/>
      <c r="I29" s="2197"/>
      <c r="J29" s="2168"/>
      <c r="K29" s="1530"/>
      <c r="L29" s="2153"/>
      <c r="M29" s="2153"/>
      <c r="N29" s="1600"/>
      <c r="O29" s="2153"/>
      <c r="P29" s="2168"/>
      <c r="Q29" s="1601"/>
      <c r="R29" s="2153"/>
      <c r="S29" s="2153"/>
      <c r="T29" s="1602"/>
      <c r="U29" s="2153"/>
      <c r="V29" s="2168"/>
      <c r="W29" s="1603"/>
      <c r="X29" s="2153"/>
      <c r="Y29" s="2153"/>
      <c r="Z29" s="1600"/>
      <c r="AA29" s="2153"/>
      <c r="AB29" s="2168"/>
      <c r="AC29" s="1604"/>
      <c r="AD29" s="2153"/>
      <c r="AE29" s="2153"/>
      <c r="AF29" s="1529"/>
      <c r="AG29" s="1529"/>
      <c r="AH29" s="1605"/>
      <c r="AI29" s="1312"/>
      <c r="AJ29" s="1590"/>
      <c r="BM29" s="309">
        <v>14</v>
      </c>
    </row>
    <row customHeight="1" ht="14.699999999999998">
      <c r="D30" s="2199"/>
      <c r="E30" s="2195"/>
      <c r="F30" s="2195"/>
      <c r="G30" s="2202"/>
      <c r="H30" s="1616"/>
      <c r="I30" s="2198"/>
      <c r="J30" s="2169"/>
      <c r="K30" s="1599"/>
      <c r="L30" s="2154"/>
      <c r="M30" s="2154"/>
      <c r="N30" s="1606"/>
      <c r="O30" s="2154"/>
      <c r="P30" s="2169"/>
      <c r="Q30" s="1607"/>
      <c r="R30" s="2154"/>
      <c r="S30" s="2154"/>
      <c r="T30" s="1608"/>
      <c r="U30" s="2154"/>
      <c r="V30" s="2169"/>
      <c r="W30" s="1609"/>
      <c r="X30" s="2154"/>
      <c r="Y30" s="2154"/>
      <c r="Z30" s="1606"/>
      <c r="AA30" s="2154"/>
      <c r="AB30" s="2169"/>
      <c r="AC30" s="1610"/>
      <c r="AD30" s="2154"/>
      <c r="AE30" s="2154"/>
      <c r="AF30" s="1611"/>
      <c r="AG30" s="1611"/>
      <c r="AH30" s="2193"/>
      <c r="AI30" s="2194"/>
      <c r="AJ30" s="1590"/>
      <c r="BM30" s="309">
        <v>14</v>
      </c>
    </row>
    <row customHeight="1" ht="14.699999999999998">
      <c r="D31" s="2199"/>
      <c r="E31" s="2195"/>
      <c r="F31" s="2195"/>
      <c r="G31" s="2202"/>
      <c r="H31" s="1616"/>
      <c r="I31" s="2198"/>
      <c r="J31" s="2169"/>
      <c r="K31" s="1599"/>
      <c r="L31" s="2154"/>
      <c r="M31" s="2154"/>
      <c r="N31" s="1606"/>
      <c r="O31" s="2154"/>
      <c r="P31" s="2169"/>
      <c r="Q31" s="1607"/>
      <c r="R31" s="2154"/>
      <c r="S31" s="2154"/>
      <c r="T31" s="1608"/>
      <c r="U31" s="2154"/>
      <c r="V31" s="2169"/>
      <c r="W31" s="1609"/>
      <c r="X31" s="2154"/>
      <c r="Y31" s="2154"/>
      <c r="Z31" s="1528"/>
      <c r="AA31" s="1611"/>
      <c r="AB31" s="2193"/>
      <c r="AC31" s="2193"/>
      <c r="AD31" s="2193"/>
      <c r="AE31" s="2193"/>
      <c r="AF31" s="2193"/>
      <c r="AG31" s="2193"/>
      <c r="AH31" s="2193"/>
      <c r="AI31" s="2194"/>
      <c r="AJ31" s="1590"/>
      <c r="BM31" s="309">
        <v>14</v>
      </c>
    </row>
    <row customHeight="1" ht="14.699999999999998">
      <c r="D32" s="2199"/>
      <c r="E32" s="2195"/>
      <c r="F32" s="2195"/>
      <c r="G32" s="2202"/>
      <c r="H32" s="1616"/>
      <c r="I32" s="2198"/>
      <c r="J32" s="2169"/>
      <c r="K32" s="1599"/>
      <c r="L32" s="2154"/>
      <c r="M32" s="2154"/>
      <c r="N32" s="1606"/>
      <c r="O32" s="2154"/>
      <c r="P32" s="2169"/>
      <c r="Q32" s="1607"/>
      <c r="R32" s="2154"/>
      <c r="S32" s="2154"/>
      <c r="T32" s="1612"/>
      <c r="U32" s="1613"/>
      <c r="V32" s="2193"/>
      <c r="W32" s="2193"/>
      <c r="X32" s="2193"/>
      <c r="Y32" s="2193"/>
      <c r="Z32" s="2193"/>
      <c r="AA32" s="2193"/>
      <c r="AB32" s="2193"/>
      <c r="AC32" s="2193"/>
      <c r="AD32" s="2193"/>
      <c r="AE32" s="2193"/>
      <c r="AF32" s="2193"/>
      <c r="AG32" s="2193"/>
      <c r="AH32" s="2193"/>
      <c r="AI32" s="2194"/>
      <c r="AJ32" s="1590"/>
      <c r="BM32" s="309">
        <v>14</v>
      </c>
    </row>
    <row customHeight="1" ht="11.549999999999999">
      <c r="D33" s="2199"/>
      <c r="E33" s="2195"/>
      <c r="F33" s="2195"/>
      <c r="G33" s="2202"/>
      <c r="H33" s="1617"/>
      <c r="I33" s="2198"/>
      <c r="J33" s="2169"/>
      <c r="K33" s="1599"/>
      <c r="L33" s="2154"/>
      <c r="M33" s="2154"/>
      <c r="N33" s="1611"/>
      <c r="O33" s="1611"/>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90"/>
      <c r="BM33" s="309">
        <v>11</v>
      </c>
    </row>
    <row s="1570" customFormat="1" customHeight="1" ht="11.549999999999999">
      <c r="D34" s="2205"/>
      <c r="E34" s="2206"/>
      <c r="F34" s="2196"/>
      <c r="G34" s="2128"/>
      <c r="H34" s="1614"/>
      <c r="I34" s="1618"/>
      <c r="J34" s="2203"/>
      <c r="K34" s="2203"/>
      <c r="L34" s="2203"/>
      <c r="M34" s="2203"/>
      <c r="N34" s="2203"/>
      <c r="O34" s="2203"/>
      <c r="P34" s="2203"/>
      <c r="Q34" s="2203"/>
      <c r="R34" s="2203"/>
      <c r="S34" s="2203"/>
      <c r="T34" s="2203"/>
      <c r="U34" s="2203"/>
      <c r="V34" s="2203"/>
      <c r="W34" s="2203"/>
      <c r="X34" s="2203"/>
      <c r="Y34" s="2203"/>
      <c r="Z34" s="2203"/>
      <c r="AA34" s="2203"/>
      <c r="AB34" s="2203"/>
      <c r="AC34" s="2203"/>
      <c r="AD34" s="2203"/>
      <c r="AE34" s="2203"/>
      <c r="AF34" s="2203"/>
      <c r="AG34" s="2203"/>
      <c r="AH34" s="2203"/>
      <c r="AI34" s="2204"/>
      <c r="AJ34" s="1590"/>
      <c r="AK34" s="322"/>
      <c r="AL34" s="1590"/>
      <c r="AM34" s="1590"/>
      <c r="AN34" s="1590"/>
      <c r="AO34" s="1590"/>
      <c r="AP34" s="1590"/>
      <c r="AQ34" s="1590"/>
      <c r="AR34" s="1590"/>
      <c r="AS34" s="1590"/>
      <c r="AT34" s="1590"/>
      <c r="AU34" s="1590"/>
      <c r="AV34" s="1590"/>
      <c r="AW34" s="1590"/>
      <c r="AX34" s="1590"/>
      <c r="AY34" s="1590"/>
      <c r="AZ34" s="1590"/>
      <c r="BA34" s="1590"/>
      <c r="BB34" s="1590"/>
      <c r="BC34" s="1590"/>
      <c r="BD34" s="1590"/>
      <c r="BE34" s="1590"/>
      <c r="BF34" s="1590"/>
      <c r="BG34" s="1590"/>
      <c r="BH34" s="1590"/>
      <c r="BI34" s="1590"/>
      <c r="BJ34" s="1590"/>
      <c r="BK34" s="1590"/>
      <c r="BL34" s="1590"/>
      <c r="BM34" s="1570">
        <v>11</v>
      </c>
    </row>
    <row customHeight="1" ht="15">
      <c r="D35" s="2199" t="s">
        <v>122</v>
      </c>
      <c r="E35" s="2195" t="s">
        <v>446</v>
      </c>
      <c r="F35" s="2195" t="s">
        <v>451</v>
      </c>
      <c r="G35" s="2201" t="s">
        <v>19</v>
      </c>
      <c r="H35" s="1615"/>
      <c r="I35" s="2197"/>
      <c r="J35" s="2168"/>
      <c r="K35" s="1530"/>
      <c r="L35" s="2153"/>
      <c r="M35" s="2153"/>
      <c r="N35" s="1600"/>
      <c r="O35" s="2153"/>
      <c r="P35" s="2168"/>
      <c r="Q35" s="1601"/>
      <c r="R35" s="2153"/>
      <c r="S35" s="2153"/>
      <c r="T35" s="1602"/>
      <c r="U35" s="2153"/>
      <c r="V35" s="2168"/>
      <c r="W35" s="1603"/>
      <c r="X35" s="2153"/>
      <c r="Y35" s="2153"/>
      <c r="Z35" s="1600"/>
      <c r="AA35" s="2153"/>
      <c r="AB35" s="2168"/>
      <c r="AC35" s="1604"/>
      <c r="AD35" s="2153"/>
      <c r="AE35" s="2153"/>
      <c r="AF35" s="1529"/>
      <c r="AG35" s="1529"/>
      <c r="AH35" s="1605"/>
      <c r="AI35" s="1312"/>
      <c r="AJ35" s="1590"/>
      <c r="BM35" s="309">
        <v>14</v>
      </c>
    </row>
    <row customHeight="1" ht="14.699999999999998">
      <c r="D36" s="2199"/>
      <c r="E36" s="2195"/>
      <c r="F36" s="2195"/>
      <c r="G36" s="2202"/>
      <c r="H36" s="1616"/>
      <c r="I36" s="2198"/>
      <c r="J36" s="2169"/>
      <c r="K36" s="1599"/>
      <c r="L36" s="2154"/>
      <c r="M36" s="2154"/>
      <c r="N36" s="1606"/>
      <c r="O36" s="2154"/>
      <c r="P36" s="2169"/>
      <c r="Q36" s="1607"/>
      <c r="R36" s="2154"/>
      <c r="S36" s="2154"/>
      <c r="T36" s="1608"/>
      <c r="U36" s="2154"/>
      <c r="V36" s="2169"/>
      <c r="W36" s="1609"/>
      <c r="X36" s="2154"/>
      <c r="Y36" s="2154"/>
      <c r="Z36" s="1606"/>
      <c r="AA36" s="2154"/>
      <c r="AB36" s="2169"/>
      <c r="AC36" s="1610"/>
      <c r="AD36" s="2154"/>
      <c r="AE36" s="2154"/>
      <c r="AF36" s="1611"/>
      <c r="AG36" s="1611"/>
      <c r="AH36" s="2193"/>
      <c r="AI36" s="2194"/>
      <c r="AJ36" s="1590"/>
      <c r="BM36" s="309">
        <v>14</v>
      </c>
    </row>
    <row customHeight="1" ht="14.699999999999998">
      <c r="D37" s="2199"/>
      <c r="E37" s="2195"/>
      <c r="F37" s="2195"/>
      <c r="G37" s="2202"/>
      <c r="H37" s="1616"/>
      <c r="I37" s="2198"/>
      <c r="J37" s="2169"/>
      <c r="K37" s="1599"/>
      <c r="L37" s="2154"/>
      <c r="M37" s="2154"/>
      <c r="N37" s="1606"/>
      <c r="O37" s="2154"/>
      <c r="P37" s="2169"/>
      <c r="Q37" s="1607"/>
      <c r="R37" s="2154"/>
      <c r="S37" s="2154"/>
      <c r="T37" s="1608"/>
      <c r="U37" s="2154"/>
      <c r="V37" s="2169"/>
      <c r="W37" s="1609"/>
      <c r="X37" s="2154"/>
      <c r="Y37" s="2154"/>
      <c r="Z37" s="1528"/>
      <c r="AA37" s="1611"/>
      <c r="AB37" s="2193"/>
      <c r="AC37" s="2193"/>
      <c r="AD37" s="2193"/>
      <c r="AE37" s="2193"/>
      <c r="AF37" s="2193"/>
      <c r="AG37" s="2193"/>
      <c r="AH37" s="2193"/>
      <c r="AI37" s="2194"/>
      <c r="AJ37" s="1590"/>
      <c r="BM37" s="309">
        <v>14</v>
      </c>
    </row>
    <row customHeight="1" ht="14.699999999999998">
      <c r="D38" s="2199"/>
      <c r="E38" s="2195"/>
      <c r="F38" s="2195"/>
      <c r="G38" s="2202"/>
      <c r="H38" s="1616"/>
      <c r="I38" s="2198"/>
      <c r="J38" s="2169"/>
      <c r="K38" s="1599"/>
      <c r="L38" s="2154"/>
      <c r="M38" s="2154"/>
      <c r="N38" s="1606"/>
      <c r="O38" s="2154"/>
      <c r="P38" s="2169"/>
      <c r="Q38" s="1607"/>
      <c r="R38" s="2154"/>
      <c r="S38" s="2154"/>
      <c r="T38" s="1612"/>
      <c r="U38" s="1613"/>
      <c r="V38" s="2193"/>
      <c r="W38" s="2193"/>
      <c r="X38" s="2193"/>
      <c r="Y38" s="2193"/>
      <c r="Z38" s="2193"/>
      <c r="AA38" s="2193"/>
      <c r="AB38" s="2193"/>
      <c r="AC38" s="2193"/>
      <c r="AD38" s="2193"/>
      <c r="AE38" s="2193"/>
      <c r="AF38" s="2193"/>
      <c r="AG38" s="2193"/>
      <c r="AH38" s="2193"/>
      <c r="AI38" s="2194"/>
      <c r="AJ38" s="1590"/>
      <c r="BM38" s="309">
        <v>14</v>
      </c>
    </row>
    <row customHeight="1" ht="11.549999999999999">
      <c r="D39" s="2199"/>
      <c r="E39" s="2195"/>
      <c r="F39" s="2195"/>
      <c r="G39" s="2202"/>
      <c r="H39" s="1617"/>
      <c r="I39" s="2198"/>
      <c r="J39" s="2169"/>
      <c r="K39" s="1599"/>
      <c r="L39" s="2154"/>
      <c r="M39" s="2154"/>
      <c r="N39" s="1611"/>
      <c r="O39" s="1611"/>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90"/>
      <c r="BM39" s="309">
        <v>11</v>
      </c>
    </row>
    <row s="1570" customFormat="1" customHeight="1" ht="11.549999999999999">
      <c r="D40" s="2199"/>
      <c r="E40" s="2195"/>
      <c r="F40" s="2200"/>
      <c r="G40" s="2128"/>
      <c r="H40" s="1614"/>
      <c r="I40" s="1618"/>
      <c r="J40" s="2203"/>
      <c r="K40" s="2203"/>
      <c r="L40" s="2203"/>
      <c r="M40" s="2203"/>
      <c r="N40" s="2203"/>
      <c r="O40" s="2203"/>
      <c r="P40" s="2203"/>
      <c r="Q40" s="2203"/>
      <c r="R40" s="2203"/>
      <c r="S40" s="2203"/>
      <c r="T40" s="2203"/>
      <c r="U40" s="2203"/>
      <c r="V40" s="2203"/>
      <c r="W40" s="2203"/>
      <c r="X40" s="2203"/>
      <c r="Y40" s="2203"/>
      <c r="Z40" s="2203"/>
      <c r="AA40" s="2203"/>
      <c r="AB40" s="2203"/>
      <c r="AC40" s="2203"/>
      <c r="AD40" s="2203"/>
      <c r="AE40" s="2203"/>
      <c r="AF40" s="2203"/>
      <c r="AG40" s="2203"/>
      <c r="AH40" s="2203"/>
      <c r="AI40" s="2204"/>
      <c r="AJ40" s="1590"/>
      <c r="AK40" s="322"/>
      <c r="AL40" s="1590"/>
      <c r="AM40" s="1590"/>
      <c r="AN40" s="1590"/>
      <c r="AO40" s="1590"/>
      <c r="AP40" s="1590"/>
      <c r="AQ40" s="1590"/>
      <c r="AR40" s="1590"/>
      <c r="AS40" s="1590"/>
      <c r="AT40" s="1590"/>
      <c r="AU40" s="1590"/>
      <c r="AV40" s="1590"/>
      <c r="AW40" s="1590"/>
      <c r="AX40" s="1590"/>
      <c r="AY40" s="1590"/>
      <c r="AZ40" s="1590"/>
      <c r="BA40" s="1590"/>
      <c r="BB40" s="1590"/>
      <c r="BC40" s="1590"/>
      <c r="BD40" s="1590"/>
      <c r="BE40" s="1590"/>
      <c r="BF40" s="1590"/>
      <c r="BG40" s="1590"/>
      <c r="BH40" s="1590"/>
      <c r="BI40" s="1590"/>
      <c r="BJ40" s="1590"/>
      <c r="BK40" s="1590"/>
      <c r="BL40" s="1590"/>
      <c r="BM40" s="1570">
        <v>11</v>
      </c>
    </row>
    <row customHeight="1" ht="11.549999999999999">
      <c r="AK41" s="439"/>
      <c r="BM41" s="309">
        <v>11</v>
      </c>
    </row>
    <row customHeight="1" ht="11.549999999999999">
      <c r="AK42" s="439"/>
      <c r="BM42" s="309">
        <v>11</v>
      </c>
    </row>
    <row customHeight="1" ht="11.549999999999999">
      <c r="AK43" s="439"/>
      <c r="BM43" s="309">
        <v>11</v>
      </c>
    </row>
    <row customHeight="1" ht="11.549999999999999">
      <c r="AK44" s="439"/>
      <c r="BM44" s="309">
        <v>11</v>
      </c>
    </row>
    <row customHeight="1" ht="11.549999999999999">
      <c r="AK45" s="439"/>
      <c r="BM45" s="309">
        <v>11</v>
      </c>
    </row>
    <row customHeight="1" ht="11.549999999999999">
      <c r="AK46" s="439"/>
      <c r="BM46" s="309">
        <v>11</v>
      </c>
    </row>
    <row customHeight="1" ht="11.549999999999999">
      <c r="AK47" s="439"/>
      <c r="BM47" s="309">
        <v>11</v>
      </c>
    </row>
    <row customHeight="1" ht="11.549999999999999">
      <c r="AK48" s="439"/>
      <c r="BM48" s="309">
        <v>11</v>
      </c>
    </row>
    <row customHeight="1" ht="11.549999999999999">
      <c r="AK49" s="439"/>
      <c r="BM49" s="309">
        <v>11</v>
      </c>
    </row>
    <row customHeight="1" ht="11.25" hidden="1">
      <c r="A50" s="309" t="s">
        <v>85</v>
      </c>
      <c r="B50" s="309">
        <v>0</v>
      </c>
      <c r="C50" s="309">
        <v>3</v>
      </c>
      <c r="D50" s="309">
        <v>3</v>
      </c>
      <c r="E50" s="309">
        <v>15</v>
      </c>
      <c r="F50" s="309">
        <v>15</v>
      </c>
      <c r="G50" s="309">
        <v>11</v>
      </c>
      <c r="H50" s="309">
        <v>3</v>
      </c>
      <c r="I50" s="309">
        <v>3</v>
      </c>
      <c r="J50" s="309">
        <v>12</v>
      </c>
      <c r="K50" s="309">
        <v>0</v>
      </c>
      <c r="L50" s="309">
        <v>10</v>
      </c>
      <c r="M50" s="309">
        <v>10</v>
      </c>
      <c r="N50" s="309">
        <v>3</v>
      </c>
      <c r="O50" s="309">
        <v>3</v>
      </c>
      <c r="P50" s="309">
        <v>19</v>
      </c>
      <c r="Q50" s="309">
        <v>0</v>
      </c>
      <c r="R50" s="309">
        <v>10</v>
      </c>
      <c r="S50" s="309">
        <v>10</v>
      </c>
      <c r="T50" s="309">
        <v>3</v>
      </c>
      <c r="U50" s="309">
        <v>3</v>
      </c>
      <c r="V50" s="309">
        <v>25</v>
      </c>
      <c r="W50" s="309">
        <v>0</v>
      </c>
      <c r="X50" s="309">
        <v>10</v>
      </c>
      <c r="Y50" s="309">
        <v>10</v>
      </c>
      <c r="Z50" s="309">
        <v>3</v>
      </c>
      <c r="AA50" s="309">
        <v>3</v>
      </c>
      <c r="AB50" s="309">
        <v>16</v>
      </c>
      <c r="AC50" s="309">
        <v>0</v>
      </c>
      <c r="AD50" s="309">
        <v>10</v>
      </c>
      <c r="AE50" s="309">
        <v>10</v>
      </c>
      <c r="AF50" s="309">
        <v>3</v>
      </c>
      <c r="AG50" s="309">
        <v>3</v>
      </c>
      <c r="AH50" s="309">
        <v>8</v>
      </c>
      <c r="AI50" s="309">
        <v>21</v>
      </c>
      <c r="AJ50" s="439">
        <v>8</v>
      </c>
      <c r="AK50" s="322">
        <v>8</v>
      </c>
      <c r="AL50" s="439">
        <v>8</v>
      </c>
      <c r="AM50" s="439">
        <v>8</v>
      </c>
      <c r="AN50" s="439">
        <v>8</v>
      </c>
      <c r="AO50" s="439">
        <v>8</v>
      </c>
      <c r="AP50" s="439">
        <v>8</v>
      </c>
      <c r="AQ50" s="439">
        <v>8</v>
      </c>
      <c r="AR50" s="439">
        <v>8</v>
      </c>
      <c r="AS50" s="439">
        <v>8</v>
      </c>
      <c r="AT50" s="439">
        <v>8</v>
      </c>
      <c r="AU50" s="439">
        <v>8</v>
      </c>
      <c r="AV50" s="439">
        <v>8</v>
      </c>
      <c r="AW50" s="439">
        <v>8</v>
      </c>
      <c r="AX50" s="439">
        <v>8</v>
      </c>
      <c r="AY50" s="439">
        <v>8</v>
      </c>
      <c r="AZ50" s="439">
        <v>8</v>
      </c>
      <c r="BA50" s="439">
        <v>8</v>
      </c>
      <c r="BB50" s="439">
        <v>8</v>
      </c>
      <c r="BC50" s="439">
        <v>8</v>
      </c>
      <c r="BD50" s="439">
        <v>8</v>
      </c>
      <c r="BE50" s="439">
        <v>8</v>
      </c>
      <c r="BF50" s="439">
        <v>8</v>
      </c>
      <c r="BG50" s="439">
        <v>8</v>
      </c>
      <c r="BH50" s="439">
        <v>8</v>
      </c>
      <c r="BI50" s="439">
        <v>8</v>
      </c>
      <c r="BJ50" s="439">
        <v>8</v>
      </c>
      <c r="BK50" s="439">
        <v>8</v>
      </c>
      <c r="BL50" s="439">
        <v>8</v>
      </c>
      <c r="BM50" s="30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CC725-4DCB-FA25-F7D7-93EB2F83B3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6" width="1.7109375" customWidth="1"/>
    <col min="2" max="2" style="1866" width="34.57421875" customWidth="1"/>
    <col min="3" max="3" style="1866" width="85.00390625" customWidth="1"/>
    <col min="4" max="4" style="1866" width="17.00390625" customWidth="1"/>
    <col min="5" max="5" style="1866" width="8.00390625" customWidth="1"/>
    <col min="6" max="6" style="1866" width="9.140625" hidden="1"/>
  </cols>
  <sheetData>
    <row customHeight="1" ht="3">
      <c r="F1" s="105" t="s">
        <v>14</v>
      </c>
    </row>
    <row customHeight="1" ht="22.5">
      <c r="B2" s="2629" t="s">
        <v>2047</v>
      </c>
      <c r="C2" s="2516"/>
      <c r="D2" s="2516"/>
      <c r="E2" s="284"/>
      <c r="F2" s="105">
        <v>22</v>
      </c>
    </row>
    <row customHeight="1" ht="3">
      <c r="F3" s="105">
        <v>3</v>
      </c>
    </row>
    <row customHeight="1" ht="23.25">
      <c r="B4" s="2630" t="s">
        <v>2048</v>
      </c>
      <c r="C4" s="399" t="s">
        <v>2049</v>
      </c>
      <c r="D4" s="399" t="s">
        <v>2050</v>
      </c>
      <c r="F4" s="105">
        <v>22</v>
      </c>
    </row>
    <row customHeight="1" ht="11.25" hidden="1">
      <c r="A5" s="105" t="s">
        <v>85</v>
      </c>
      <c r="B5" s="105">
        <v>34</v>
      </c>
      <c r="C5" s="105">
        <v>85</v>
      </c>
      <c r="D5" s="105">
        <v>17</v>
      </c>
      <c r="E5" s="105">
        <v>8</v>
      </c>
      <c r="F5" s="10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0AFF6-3122-E287-B152-A0D84D3941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6" width="26.57421875" customWidth="1"/>
    <col min="2" max="2" style="1866" width="10.00390625" customWidth="1"/>
    <col min="3" max="3" style="1866" width="9.140625"/>
    <col min="4" max="4" style="1866" width="11.140625" customWidth="1"/>
    <col min="5" max="5" style="1866" width="16.57421875" customWidth="1"/>
    <col min="6" max="6" style="1866" width="16.28125" customWidth="1"/>
    <col min="7" max="7" style="1866" width="19.140625" customWidth="1"/>
    <col min="8" max="11" style="1866" width="10.00390625" customWidth="1"/>
    <col min="12" max="12" style="1866" width="12.7109375" customWidth="1"/>
    <col min="13" max="13" style="1866" width="61.28125" customWidth="1"/>
    <col min="14" max="14" style="1866" width="10.00390625" customWidth="1"/>
    <col min="15" max="17" style="1866" width="23.7109375" customWidth="1"/>
    <col min="18" max="18" style="1866" width="11.7109375" customWidth="1"/>
    <col min="19" max="19" style="1866" width="8.57421875" customWidth="1"/>
    <col min="20" max="20" style="1866" width="11.7109375" customWidth="1"/>
    <col min="21" max="21" style="1866" width="8.57421875" customWidth="1"/>
    <col min="22" max="22" style="1866" width="4.7109375" customWidth="1"/>
    <col min="23" max="23" style="1866" width="115.7109375" customWidth="1"/>
    <col min="24" max="24" style="1866" width="115.28125" customWidth="1"/>
    <col min="25" max="27" style="1866" width="9.140625"/>
    <col min="28" max="28" style="1866" width="115.7109375" customWidth="1"/>
    <col min="29" max="29" style="1866" width="9.140625"/>
    <col min="30" max="90" style="1866" width="115.7109375" customWidth="1"/>
    <col min="91" max="184" style="1866" width="9.140625"/>
  </cols>
  <sheetData>
    <row r="2" s="1831" customFormat="1" customHeight="1" ht="17.25">
      <c r="A2" s="1831" t="s">
        <v>2051</v>
      </c>
    </row>
    <row r="4" s="280" customFormat="1" customHeight="1" ht="15">
      <c r="C4" s="1832"/>
      <c r="D4" s="129"/>
      <c r="E4" s="393"/>
    </row>
    <row r="6" s="1831" customFormat="1" customHeight="1" ht="17.25">
      <c r="A6" s="1831" t="s">
        <v>2052</v>
      </c>
    </row>
    <row r="8" s="280" customFormat="1" customHeight="1" ht="17.25">
      <c r="C8" s="1833"/>
      <c r="D8" s="129"/>
      <c r="E8" s="130"/>
    </row>
    <row r="11" s="1831" customFormat="1" customHeight="1" ht="17.25">
      <c r="A11" s="1831" t="s">
        <v>2053</v>
      </c>
    </row>
    <row r="13" s="1835" customFormat="1" customHeight="1" ht="15">
      <c r="A13" s="2233">
        <v>1</v>
      </c>
      <c r="B13" s="1176"/>
      <c r="C13" s="817" t="s">
        <v>108</v>
      </c>
      <c r="D13" s="1834"/>
      <c r="E13" s="1821">
        <f>A13</f>
        <v>1</v>
      </c>
      <c r="F13" s="820"/>
      <c r="G13" s="556" t="str">
        <f>"Территория "&amp;E13</f>
        <v>Территория 1</v>
      </c>
      <c r="H13" s="808"/>
      <c r="I13" s="808"/>
      <c r="J13" s="805"/>
      <c r="K13" s="1640"/>
      <c r="L13" s="1640"/>
      <c r="M13" s="1640"/>
      <c r="N13" s="242"/>
      <c r="O13" s="1640"/>
      <c r="P13" s="241"/>
      <c r="Q13" s="241"/>
      <c r="R13" s="241"/>
      <c r="S13" s="241"/>
    </row>
    <row s="1866" customFormat="1" customHeight="1" ht="15">
      <c r="A14" s="2233"/>
      <c r="B14" s="1176">
        <v>1</v>
      </c>
      <c r="C14" s="1176"/>
      <c r="D14" s="816"/>
      <c r="E14" s="1829" t="str">
        <f>A13&amp;"."&amp;B14</f>
        <v>1.1</v>
      </c>
      <c r="F14" s="819">
        <f>$F$20</f>
        <v>0</v>
      </c>
      <c r="G14" s="809"/>
      <c r="H14" s="809"/>
      <c r="I14" s="807"/>
      <c r="J14" s="1640"/>
      <c r="K14" s="1652"/>
      <c r="L14" s="1652"/>
      <c r="M14" s="1640" t="str">
        <f t="array" ref="M14:M14">IF(ISERROR(MATCH(MID(N14,1,250),MID(note_ter,1,250),0)),"n","y")</f>
        <v>n</v>
      </c>
      <c r="N14" s="1652"/>
      <c r="O14" s="1640" t="str">
        <f>H14&amp;"("&amp;I14&amp;")"</f>
        <v>()</v>
      </c>
      <c r="P14" s="1176"/>
      <c r="Q14" s="1176"/>
      <c r="R14" s="436"/>
      <c r="S14" s="1176"/>
      <c r="T14" s="1176"/>
      <c r="U14" s="1176"/>
      <c r="V14" s="438"/>
      <c r="W14" s="438"/>
      <c r="X14" s="435"/>
      <c r="Y14" s="435"/>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5"/>
      <c r="AX14" s="435"/>
      <c r="AY14" s="435"/>
      <c r="AZ14" s="435"/>
      <c r="BA14" s="435"/>
      <c r="BB14" s="435"/>
      <c r="BC14" s="435"/>
      <c r="BD14" s="435"/>
      <c r="BE14" s="435"/>
      <c r="BF14" s="435"/>
      <c r="BG14" s="435"/>
      <c r="BH14" s="435"/>
      <c r="BI14" s="435"/>
      <c r="BJ14" s="435"/>
      <c r="BK14" s="435"/>
      <c r="BL14" s="435"/>
      <c r="BM14" s="435"/>
      <c r="BN14" s="435"/>
      <c r="BO14" s="435"/>
      <c r="BP14" s="435"/>
      <c r="BQ14" s="435"/>
      <c r="BR14" s="435"/>
      <c r="BS14" s="438"/>
      <c r="BT14" s="438"/>
      <c r="BU14" s="438"/>
      <c r="BV14" s="438"/>
      <c r="BW14" s="438"/>
      <c r="BX14" s="438"/>
      <c r="BY14" s="438"/>
      <c r="BZ14" s="438"/>
      <c r="CA14" s="438"/>
      <c r="CB14" s="438"/>
    </row>
    <row s="1866" customFormat="1" customHeight="1" ht="15">
      <c r="A15" s="2233"/>
      <c r="B15" s="1176"/>
      <c r="C15" s="428"/>
      <c r="D15" s="817"/>
      <c r="E15" s="437"/>
      <c r="F15" s="193"/>
      <c r="G15" s="431" t="s">
        <v>106</v>
      </c>
      <c r="H15" s="203"/>
      <c r="I15" s="440"/>
      <c r="J15" s="1652"/>
      <c r="K15" s="1652"/>
      <c r="L15" s="1652"/>
      <c r="M15" s="1652"/>
      <c r="N15" s="1640"/>
      <c r="O15" s="1652"/>
      <c r="P15" s="1176"/>
      <c r="Q15" s="1176"/>
      <c r="R15" s="436"/>
      <c r="S15" s="1176"/>
      <c r="T15" s="1176"/>
      <c r="U15" s="1176"/>
      <c r="V15" s="438"/>
      <c r="W15" s="438"/>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5"/>
      <c r="AY15" s="435"/>
      <c r="AZ15" s="435"/>
      <c r="BA15" s="435"/>
      <c r="BB15" s="435"/>
      <c r="BC15" s="435"/>
      <c r="BD15" s="435"/>
      <c r="BE15" s="435"/>
      <c r="BF15" s="435"/>
      <c r="BG15" s="435"/>
      <c r="BH15" s="435"/>
      <c r="BI15" s="435"/>
      <c r="BJ15" s="435"/>
      <c r="BK15" s="435"/>
      <c r="BL15" s="435"/>
      <c r="BM15" s="435"/>
      <c r="BN15" s="435"/>
      <c r="BO15" s="435"/>
      <c r="BP15" s="435"/>
      <c r="BQ15" s="435"/>
      <c r="BR15" s="435"/>
      <c r="BS15" s="438"/>
      <c r="BT15" s="438"/>
      <c r="BU15" s="438"/>
      <c r="BV15" s="438"/>
      <c r="BW15" s="438"/>
      <c r="BX15" s="438"/>
      <c r="BY15" s="438"/>
      <c r="BZ15" s="438"/>
      <c r="CA15" s="438"/>
      <c r="CB15" s="438"/>
    </row>
    <row r="17" s="1831" customFormat="1" customHeight="1" ht="17.25">
      <c r="A17" s="1831" t="s">
        <v>2054</v>
      </c>
    </row>
    <row r="19" s="1866" customFormat="1" customHeight="1" ht="15">
      <c r="A19" s="1898"/>
      <c r="B19" s="1382">
        <v>1</v>
      </c>
      <c r="C19" s="1382"/>
      <c r="D19" s="816" t="s">
        <v>108</v>
      </c>
      <c r="E19" s="1894"/>
      <c r="F19" s="1899">
        <f>$F$20</f>
        <v>0</v>
      </c>
      <c r="G19" s="1903"/>
      <c r="H19" s="1903"/>
      <c r="I19" s="1901"/>
      <c r="J19" s="1640"/>
      <c r="K19" s="1652"/>
      <c r="L19" s="1652"/>
      <c r="M19" s="1640" t="str">
        <f t="array" ref="M19:M19">IF(ISERROR(MATCH(MID(N19,1,250),MID(note_ter,1,250),0)),"n","y")</f>
        <v>n</v>
      </c>
      <c r="N19" s="1652"/>
      <c r="O19" s="1640" t="str">
        <f>H19&amp;"("&amp;I19&amp;")"</f>
        <v>()</v>
      </c>
      <c r="P19" s="1382"/>
      <c r="Q19" s="1382"/>
      <c r="R19" s="436"/>
      <c r="S19" s="1382"/>
      <c r="T19" s="1382"/>
      <c r="U19" s="1382"/>
      <c r="V19" s="849"/>
      <c r="W19" s="849"/>
      <c r="X19" s="643"/>
      <c r="Y19" s="643"/>
      <c r="Z19" s="643"/>
      <c r="AA19" s="643"/>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643"/>
      <c r="AZ19" s="643"/>
      <c r="BA19" s="643"/>
      <c r="BB19" s="643"/>
      <c r="BC19" s="643"/>
      <c r="BD19" s="643"/>
      <c r="BE19" s="643"/>
      <c r="BF19" s="643"/>
      <c r="BG19" s="643"/>
      <c r="BH19" s="643"/>
      <c r="BI19" s="643"/>
      <c r="BJ19" s="643"/>
      <c r="BK19" s="643"/>
      <c r="BL19" s="643"/>
      <c r="BM19" s="643"/>
      <c r="BN19" s="643"/>
      <c r="BO19" s="643"/>
      <c r="BP19" s="643"/>
      <c r="BQ19" s="643"/>
      <c r="BR19" s="643"/>
      <c r="BS19" s="849"/>
      <c r="BT19" s="849"/>
      <c r="BU19" s="849"/>
      <c r="BV19" s="849"/>
      <c r="BW19" s="849"/>
      <c r="BX19" s="849"/>
      <c r="BY19" s="849"/>
      <c r="BZ19" s="849"/>
      <c r="CA19" s="849"/>
      <c r="CB19" s="849"/>
    </row>
    <row r="21" s="1866" customFormat="1" customHeight="1" ht="15">
      <c r="A21" s="1831" t="s">
        <v>2055</v>
      </c>
      <c r="B21" s="1831"/>
      <c r="C21" s="1831"/>
      <c r="D21" s="1831"/>
      <c r="E21" s="1831"/>
      <c r="F21" s="1831"/>
      <c r="G21" s="1831"/>
      <c r="H21" s="1831"/>
      <c r="I21" s="1831"/>
      <c r="J21" s="1831"/>
      <c r="K21" s="1831"/>
      <c r="L21" s="1831"/>
      <c r="M21" s="1831"/>
      <c r="N21" s="1831"/>
      <c r="O21" s="1831"/>
      <c r="P21" s="1831"/>
      <c r="Q21" s="1831"/>
      <c r="R21" s="1831"/>
      <c r="S21" s="1831"/>
      <c r="T21" s="1831"/>
      <c r="U21" s="200"/>
      <c r="V21" s="1831"/>
      <c r="W21" s="1831"/>
    </row>
    <row s="1866" customFormat="1" customHeight="1" ht="15">
      <c r="U22" s="201"/>
    </row>
    <row s="1869" customFormat="1" customHeight="1" ht="15">
      <c r="A23" s="439"/>
      <c r="B23" s="439"/>
      <c r="C23" s="1744" t="s">
        <v>108</v>
      </c>
      <c r="D23" s="2124" t="s">
        <v>141</v>
      </c>
      <c r="E23" s="2125"/>
      <c r="F23" s="2123" t="s">
        <v>19</v>
      </c>
      <c r="G23" s="2573"/>
      <c r="H23" s="2143">
        <v>1</v>
      </c>
      <c r="I23" s="2575" t="str">
        <f>IF(U23="","",INDEX(TERRITORY_MR_LIST,MATCH(U23,TERRITORY_LIST_ID,0)))</f>
        <v/>
      </c>
      <c r="J23" s="2123" t="s">
        <v>19</v>
      </c>
      <c r="K23" s="848"/>
      <c r="L23" s="1798" t="s">
        <v>141</v>
      </c>
      <c r="M23" s="619"/>
      <c r="N23" s="620"/>
      <c r="O23" s="620"/>
      <c r="P23" s="620"/>
      <c r="Q23" s="620"/>
      <c r="R23" s="620"/>
      <c r="S23" s="620"/>
      <c r="T23" s="620"/>
      <c r="U23" s="621"/>
      <c r="V23" s="620"/>
      <c r="W23" s="620"/>
      <c r="X23" s="611"/>
      <c r="Y23" s="611" t="s">
        <v>187</v>
      </c>
      <c r="Z23" s="611">
        <v>1705000</v>
      </c>
      <c r="AA23" s="611"/>
      <c r="AB23" s="611"/>
      <c r="AC23" s="611"/>
      <c r="AD23" s="611"/>
      <c r="AE23" s="611"/>
      <c r="AF23" s="611"/>
      <c r="AG23" s="611"/>
      <c r="AH23" s="611"/>
      <c r="AI23" s="611"/>
      <c r="AJ23" s="611"/>
      <c r="AK23" s="611"/>
      <c r="AL23" s="611"/>
    </row>
    <row s="1869" customFormat="1" customHeight="1" ht="15">
      <c r="A24" s="439"/>
      <c r="B24" s="439"/>
      <c r="C24" s="192"/>
      <c r="D24" s="2124"/>
      <c r="E24" s="2126"/>
      <c r="F24" s="2123"/>
      <c r="G24" s="2574"/>
      <c r="H24" s="2143"/>
      <c r="I24" s="2576"/>
      <c r="J24" s="2123"/>
      <c r="K24" s="437"/>
      <c r="L24" s="193"/>
      <c r="M24" s="623" t="s">
        <v>188</v>
      </c>
      <c r="N24" s="620"/>
      <c r="O24" s="620"/>
      <c r="P24" s="620"/>
      <c r="Q24" s="620"/>
      <c r="R24" s="620"/>
      <c r="S24" s="620"/>
      <c r="T24" s="620"/>
      <c r="U24" s="621"/>
      <c r="V24" s="620"/>
      <c r="W24" s="620"/>
      <c r="X24" s="611"/>
      <c r="Y24" s="611"/>
      <c r="Z24" s="611"/>
      <c r="AA24" s="611"/>
      <c r="AB24" s="611"/>
      <c r="AC24" s="611"/>
      <c r="AD24" s="611"/>
      <c r="AE24" s="611"/>
      <c r="AF24" s="611"/>
      <c r="AG24" s="611"/>
      <c r="AH24" s="611"/>
      <c r="AI24" s="611"/>
      <c r="AJ24" s="611"/>
      <c r="AK24" s="611"/>
      <c r="AL24" s="611"/>
    </row>
    <row s="1869" customFormat="1" customHeight="1" ht="15">
      <c r="A25" s="439"/>
      <c r="B25" s="439"/>
      <c r="C25" s="192"/>
      <c r="D25" s="2124"/>
      <c r="E25" s="2127"/>
      <c r="F25" s="2123"/>
      <c r="G25" s="437"/>
      <c r="H25" s="193"/>
      <c r="I25" s="596" t="s">
        <v>189</v>
      </c>
      <c r="J25" s="193"/>
      <c r="K25" s="193"/>
      <c r="L25" s="193"/>
      <c r="M25" s="624"/>
      <c r="N25" s="620"/>
      <c r="O25" s="620"/>
      <c r="P25" s="620"/>
      <c r="Q25" s="620"/>
      <c r="R25" s="620"/>
      <c r="S25" s="620"/>
      <c r="T25" s="620"/>
      <c r="U25" s="621"/>
      <c r="V25" s="620"/>
      <c r="W25" s="620"/>
      <c r="X25" s="611"/>
      <c r="Y25" s="611"/>
      <c r="Z25" s="611"/>
      <c r="AA25" s="611"/>
      <c r="AB25" s="611"/>
      <c r="AC25" s="611"/>
      <c r="AD25" s="611"/>
      <c r="AE25" s="611"/>
      <c r="AF25" s="611"/>
      <c r="AG25" s="611"/>
      <c r="AH25" s="611"/>
      <c r="AI25" s="611"/>
      <c r="AJ25" s="611"/>
      <c r="AK25" s="611"/>
      <c r="AL25" s="611"/>
    </row>
    <row s="1866" customFormat="1" customHeight="1" ht="15">
      <c r="U26" s="201"/>
    </row>
    <row s="1866" customFormat="1" customHeight="1" ht="15">
      <c r="A27" s="1831" t="s">
        <v>2056</v>
      </c>
      <c r="B27" s="1831"/>
      <c r="C27" s="1831"/>
      <c r="D27" s="1831"/>
      <c r="E27" s="1831"/>
      <c r="F27" s="1831"/>
      <c r="G27" s="1831"/>
      <c r="H27" s="1831"/>
      <c r="I27" s="1831"/>
      <c r="J27" s="1831"/>
      <c r="K27" s="1831"/>
      <c r="L27" s="1831"/>
      <c r="M27" s="1831"/>
      <c r="N27" s="1831"/>
      <c r="O27" s="1831"/>
      <c r="P27" s="1831"/>
      <c r="Q27" s="1831"/>
      <c r="R27" s="1831"/>
      <c r="S27" s="1831"/>
      <c r="T27" s="1831"/>
      <c r="U27" s="200"/>
      <c r="V27" s="1831"/>
      <c r="W27" s="1831"/>
    </row>
    <row s="1866" customFormat="1" customHeight="1" ht="15">
      <c r="U28" s="201"/>
    </row>
    <row s="1869" customFormat="1" customHeight="1" ht="15">
      <c r="A29" s="439"/>
      <c r="B29" s="439"/>
      <c r="C29" s="192"/>
      <c r="D29" s="1837"/>
      <c r="E29" s="1837"/>
      <c r="F29" s="1837"/>
      <c r="G29" s="2577" t="s">
        <v>108</v>
      </c>
      <c r="H29" s="2119">
        <v>1</v>
      </c>
      <c r="I29" s="2578" t="str">
        <f>IF(U29="","",INDEX(TERRITORY_MR_LIST,MATCH(U29,TERRITORY_LIST_ID,0)))</f>
        <v/>
      </c>
      <c r="J29" s="2123" t="s">
        <v>19</v>
      </c>
      <c r="K29" s="848"/>
      <c r="L29" s="1798" t="s">
        <v>141</v>
      </c>
      <c r="M29" s="619"/>
      <c r="N29" s="620"/>
      <c r="O29" s="620"/>
      <c r="P29" s="620"/>
      <c r="Q29" s="620"/>
      <c r="R29" s="620"/>
      <c r="S29" s="620"/>
      <c r="T29" s="620"/>
      <c r="U29" s="621"/>
      <c r="V29" s="620"/>
      <c r="W29" s="620"/>
      <c r="X29" s="611"/>
      <c r="Y29" s="611" t="s">
        <v>187</v>
      </c>
      <c r="Z29" s="611">
        <v>1705000</v>
      </c>
      <c r="AA29" s="611"/>
      <c r="AB29" s="611"/>
      <c r="AC29" s="611"/>
      <c r="AD29" s="611"/>
      <c r="AE29" s="611"/>
      <c r="AF29" s="611"/>
      <c r="AG29" s="611"/>
      <c r="AH29" s="611"/>
      <c r="AI29" s="611"/>
      <c r="AJ29" s="611"/>
      <c r="AK29" s="611"/>
      <c r="AL29" s="611"/>
    </row>
    <row s="1869" customFormat="1" customHeight="1" ht="15">
      <c r="A30" s="439"/>
      <c r="B30" s="439"/>
      <c r="C30" s="192"/>
      <c r="D30" s="1837"/>
      <c r="E30" s="1837"/>
      <c r="F30" s="1837"/>
      <c r="G30" s="2577"/>
      <c r="H30" s="2119"/>
      <c r="I30" s="2578"/>
      <c r="J30" s="2123"/>
      <c r="K30" s="437"/>
      <c r="L30" s="193"/>
      <c r="M30" s="623" t="s">
        <v>188</v>
      </c>
      <c r="N30" s="620"/>
      <c r="O30" s="620"/>
      <c r="P30" s="620"/>
      <c r="Q30" s="620"/>
      <c r="R30" s="620"/>
      <c r="S30" s="620"/>
      <c r="T30" s="620"/>
      <c r="U30" s="621"/>
      <c r="V30" s="620"/>
      <c r="W30" s="620"/>
      <c r="X30" s="611"/>
      <c r="Y30" s="611"/>
      <c r="Z30" s="611"/>
      <c r="AA30" s="611"/>
      <c r="AB30" s="611"/>
      <c r="AC30" s="611"/>
      <c r="AD30" s="611"/>
      <c r="AE30" s="611"/>
      <c r="AF30" s="611"/>
      <c r="AG30" s="611"/>
      <c r="AH30" s="611"/>
      <c r="AI30" s="611"/>
      <c r="AJ30" s="611"/>
      <c r="AK30" s="611"/>
      <c r="AL30" s="611"/>
    </row>
    <row s="1866" customFormat="1" customHeight="1" ht="15">
      <c r="U31" s="201"/>
    </row>
    <row s="1866" customFormat="1" customHeight="1" ht="15">
      <c r="A32" s="1831" t="s">
        <v>2057</v>
      </c>
      <c r="B32" s="1831"/>
      <c r="C32" s="1831"/>
      <c r="D32" s="1831"/>
      <c r="E32" s="1831"/>
      <c r="F32" s="1831"/>
      <c r="G32" s="1831"/>
      <c r="H32" s="1831"/>
      <c r="I32" s="1831"/>
      <c r="J32" s="1831"/>
      <c r="K32" s="1831"/>
      <c r="L32" s="1831"/>
      <c r="M32" s="1831"/>
      <c r="N32" s="1831"/>
      <c r="O32" s="1831"/>
      <c r="P32" s="1831"/>
      <c r="Q32" s="1831"/>
      <c r="R32" s="1831"/>
      <c r="S32" s="1831"/>
      <c r="T32" s="1831"/>
      <c r="U32" s="200"/>
      <c r="V32" s="1831"/>
      <c r="W32" s="1831"/>
    </row>
    <row s="1866" customFormat="1" customHeight="1" ht="15">
      <c r="U33" s="201"/>
    </row>
    <row s="1869" customFormat="1" customHeight="1" ht="15">
      <c r="A34" s="439"/>
      <c r="B34" s="439"/>
      <c r="C34" s="192"/>
      <c r="D34" s="1837"/>
      <c r="E34" s="1837"/>
      <c r="F34" s="1837"/>
      <c r="G34" s="1837"/>
      <c r="H34" s="1837"/>
      <c r="I34" s="1837"/>
      <c r="J34" s="1837"/>
      <c r="K34" s="1815" t="s">
        <v>108</v>
      </c>
      <c r="L34" s="1745" t="s">
        <v>141</v>
      </c>
      <c r="M34" s="827"/>
      <c r="N34" s="828"/>
      <c r="O34" s="620"/>
      <c r="P34" s="620"/>
      <c r="Q34" s="620"/>
      <c r="R34" s="620"/>
      <c r="S34" s="620"/>
      <c r="T34" s="620"/>
      <c r="U34" s="621"/>
      <c r="V34" s="620"/>
      <c r="W34" s="620"/>
      <c r="X34" s="611"/>
      <c r="Y34" s="611" t="s">
        <v>187</v>
      </c>
      <c r="Z34" s="611">
        <v>1705000</v>
      </c>
      <c r="AA34" s="611"/>
      <c r="AB34" s="611"/>
      <c r="AC34" s="611"/>
      <c r="AD34" s="611"/>
      <c r="AE34" s="611"/>
      <c r="AF34" s="611"/>
      <c r="AG34" s="611"/>
      <c r="AH34" s="611"/>
      <c r="AI34" s="611"/>
      <c r="AJ34" s="611"/>
      <c r="AK34" s="611"/>
      <c r="AL34" s="611"/>
    </row>
    <row s="1866" customFormat="1" customHeight="1" ht="15">
      <c r="U35" s="201"/>
    </row>
    <row s="1866" customFormat="1" customHeight="1" ht="15">
      <c r="U36" s="201"/>
    </row>
    <row s="1831" customFormat="1" customHeight="1" ht="11.25">
      <c r="A37" s="1831" t="s">
        <v>2058</v>
      </c>
    </row>
    <row customHeight="1" ht="11.25"/>
    <row s="471" customFormat="1" customHeight="1" ht="22.5">
      <c r="A39" s="1807"/>
      <c r="B39" s="473"/>
      <c r="C39" s="875"/>
      <c r="D39" s="456"/>
      <c r="E39" s="876"/>
      <c r="F39" s="1828"/>
      <c r="G39" s="1838"/>
      <c r="H39" s="491"/>
    </row>
    <row customHeight="1" ht="11.25"/>
    <row s="1831" customFormat="1" customHeight="1" ht="11.25">
      <c r="A41" s="1831" t="s">
        <v>2059</v>
      </c>
    </row>
    <row customHeight="1" ht="11.25"/>
    <row s="471" customFormat="1" customHeight="1" ht="22.5">
      <c r="A43" s="473"/>
      <c r="B43" s="473"/>
      <c r="C43" s="473"/>
      <c r="D43" s="456"/>
      <c r="E43" s="876"/>
      <c r="F43" s="877"/>
      <c r="G43" s="1838"/>
      <c r="H43" s="491"/>
    </row>
    <row customHeight="1" ht="11.25"/>
    <row s="1831" customFormat="1" customHeight="1" ht="11.25">
      <c r="A45" s="1831" t="s">
        <v>2060</v>
      </c>
    </row>
    <row customHeight="1" ht="11.25"/>
    <row s="471" customFormat="1" customHeight="1" ht="24">
      <c r="A47" s="2218" t="s">
        <v>466</v>
      </c>
      <c r="B47" s="518"/>
      <c r="C47" s="2229"/>
      <c r="D47" s="461" t="str">
        <f>A47</f>
        <v>5.1</v>
      </c>
      <c r="E47" s="458" t="s">
        <v>467</v>
      </c>
      <c r="F47" s="1992" t="s">
        <v>459</v>
      </c>
      <c r="G47" s="460" t="s">
        <v>468</v>
      </c>
      <c r="H47" s="491"/>
      <c r="I47" s="868"/>
    </row>
    <row s="471" customFormat="1" customHeight="1" ht="22.5">
      <c r="A48" s="2218"/>
      <c r="B48" s="518"/>
      <c r="C48" s="2229"/>
      <c r="D48" s="456" t="str">
        <f>D47&amp;".1"</f>
        <v>5.1.1</v>
      </c>
      <c r="E48" s="455" t="s">
        <v>469</v>
      </c>
      <c r="F48" s="1993" t="s">
        <v>28</v>
      </c>
      <c r="G48" s="490"/>
      <c r="H48" s="491"/>
      <c r="I48" s="868"/>
    </row>
    <row s="471" customFormat="1" customHeight="1" ht="22.5">
      <c r="A49" s="2218"/>
      <c r="B49" s="518"/>
      <c r="C49" s="2229"/>
      <c r="D49" s="456" t="str">
        <f>D47&amp;".2"</f>
        <v>5.1.2</v>
      </c>
      <c r="E49" s="455" t="s">
        <v>470</v>
      </c>
      <c r="F49" s="1748" t="s">
        <v>28</v>
      </c>
      <c r="G49" s="460" t="s">
        <v>471</v>
      </c>
      <c r="H49" s="491"/>
      <c r="I49" s="868"/>
    </row>
    <row s="471" customFormat="1" customHeight="1" ht="22.5">
      <c r="A50" s="2218"/>
      <c r="B50" s="518"/>
      <c r="C50" s="2229"/>
      <c r="D50" s="456" t="str">
        <f>D47&amp;".3"</f>
        <v>5.1.3</v>
      </c>
      <c r="E50" s="455" t="s">
        <v>472</v>
      </c>
      <c r="F50" s="1993" t="s">
        <v>28</v>
      </c>
      <c r="G50" s="490"/>
      <c r="H50" s="491"/>
      <c r="I50" s="868"/>
    </row>
    <row s="471" customFormat="1" customHeight="1" ht="22.5">
      <c r="A51" s="2218"/>
      <c r="B51" s="518"/>
      <c r="C51" s="2229"/>
      <c r="D51" s="456" t="str">
        <f>D47&amp;".4"</f>
        <v>5.1.4</v>
      </c>
      <c r="E51" s="455" t="s">
        <v>473</v>
      </c>
      <c r="F51" s="1993" t="s">
        <v>28</v>
      </c>
      <c r="G51" s="460" t="s">
        <v>474</v>
      </c>
      <c r="H51" s="491"/>
      <c r="I51" s="868"/>
    </row>
    <row r="54" s="1831" customFormat="1" customHeight="1" ht="17.25">
      <c r="A54" s="1831" t="s">
        <v>2061</v>
      </c>
    </row>
    <row r="56" s="1628" customFormat="1" customHeight="1" ht="18.75">
      <c r="A56" s="105"/>
      <c r="B56" s="1839"/>
      <c r="C56" s="1839"/>
      <c r="D56" s="1840"/>
      <c r="E56" s="1825"/>
      <c r="F56" s="884">
        <v>13</v>
      </c>
      <c r="G56" s="883"/>
      <c r="H56" s="809"/>
      <c r="I56" s="807"/>
      <c r="J56" s="536" t="s">
        <v>64</v>
      </c>
      <c r="K56" s="1841" t="s">
        <v>28</v>
      </c>
      <c r="L56" s="105"/>
      <c r="M56" s="1652"/>
      <c r="N56" s="1652"/>
      <c r="O56" s="1652"/>
      <c r="P56" s="532" t="s">
        <v>545</v>
      </c>
      <c r="Q56" s="532" t="s">
        <v>546</v>
      </c>
      <c r="R56" s="533" t="s">
        <v>547</v>
      </c>
      <c r="S56" s="1652" t="s">
        <v>548</v>
      </c>
      <c r="T56" s="1652"/>
      <c r="U56" s="1652"/>
      <c r="V56" s="1652"/>
    </row>
    <row r="58" s="1831" customFormat="1" customHeight="1" ht="11.25">
      <c r="A58" s="1831" t="s">
        <v>2062</v>
      </c>
    </row>
    <row r="60" s="1651" customFormat="1" customHeight="1" ht="14.25">
      <c r="C60" s="1704"/>
      <c r="D60" s="1885"/>
      <c r="E60" s="1793" t="s">
        <v>28</v>
      </c>
      <c r="F60" s="1884"/>
      <c r="G60" s="872"/>
      <c r="H60" s="1794"/>
      <c r="I60" s="1794"/>
      <c r="J60" s="449"/>
      <c r="K60" s="1879"/>
      <c r="L60" s="448"/>
      <c r="M60" s="1879"/>
      <c r="N60" s="449"/>
      <c r="O60" s="1879"/>
      <c r="P60" s="449"/>
      <c r="Q60" s="1879"/>
      <c r="R60" s="449"/>
      <c r="S60" s="870"/>
      <c r="T60" s="1794"/>
      <c r="U60" s="449"/>
      <c r="V60" s="449"/>
      <c r="W60" s="1883"/>
      <c r="X60" s="1794"/>
      <c r="Y60" s="449"/>
      <c r="Z60" s="449"/>
      <c r="AA60" s="1883"/>
      <c r="AB60" s="1794"/>
      <c r="AC60" s="449"/>
      <c r="AD60" s="1883"/>
      <c r="AE60" s="105"/>
      <c r="AF60" s="105"/>
      <c r="AG60" s="105"/>
      <c r="AH60" s="105"/>
      <c r="AJ60" s="1652"/>
      <c r="AK60" s="1652"/>
      <c r="AL60" s="1652"/>
      <c r="AM60" s="1652"/>
      <c r="AN60" s="1652"/>
      <c r="AO60" s="1652"/>
      <c r="AP60" s="1640" t="s">
        <v>534</v>
      </c>
      <c r="AQ60" s="1640" t="s">
        <v>534</v>
      </c>
      <c r="AR60" s="1652"/>
      <c r="AS60" s="1652"/>
    </row>
    <row r="62" s="1831" customFormat="1" customHeight="1" ht="11.25">
      <c r="A62" s="1831" t="s">
        <v>2063</v>
      </c>
    </row>
    <row r="64" s="1839" customFormat="1" customHeight="1" ht="15">
      <c r="A64" s="161" t="s">
        <v>93</v>
      </c>
      <c r="B64" s="141" t="s">
        <v>28</v>
      </c>
      <c r="C64" s="1842"/>
      <c r="D64" s="144"/>
      <c r="E64" s="397"/>
      <c r="F64" s="397"/>
      <c r="G64" s="1819"/>
      <c r="H64" s="1841"/>
      <c r="I64" s="1820"/>
      <c r="K64" s="288"/>
      <c r="L64" s="289"/>
    </row>
    <row r="66" s="1831" customFormat="1" customHeight="1" ht="11.25">
      <c r="A66" s="1831" t="s">
        <v>2064</v>
      </c>
    </row>
    <row r="68" s="1651" customFormat="1" customHeight="1" ht="14.25">
      <c r="A68" s="359"/>
      <c r="B68" s="1176"/>
      <c r="C68" s="392"/>
      <c r="D68" s="1826"/>
      <c r="E68" s="902"/>
      <c r="F68" s="1841"/>
      <c r="G68" s="105"/>
      <c r="I68" s="1640"/>
      <c r="J68" s="1640"/>
    </row>
    <row r="70" s="1831" customFormat="1" customHeight="1" ht="11.25">
      <c r="A70" s="1831" t="s">
        <v>2065</v>
      </c>
    </row>
    <row r="72" s="1651" customFormat="1" customHeight="1" ht="27">
      <c r="A72" s="1182"/>
      <c r="B72" s="1182"/>
      <c r="C72" s="1182"/>
      <c r="D72" s="1176"/>
      <c r="E72" s="1843"/>
      <c r="F72" s="2597"/>
      <c r="G72" s="2598"/>
      <c r="H72" s="2599" t="s">
        <v>64</v>
      </c>
      <c r="I72" s="2601"/>
      <c r="J72" s="2564"/>
      <c r="K72" s="2603"/>
      <c r="L72" s="2566"/>
      <c r="M72" s="2566"/>
      <c r="N72" s="2567"/>
      <c r="O72" s="2567"/>
      <c r="P72" s="2568">
        <f>DATEDIF(DATEVALUE(N72),DATEVALUE(O72),"y")&amp;"г. "&amp;DATEDIF(DATEVALUE(N72),DATEVALUE(O72),"ym")&amp;"мес. "&amp;DATEVALUE(O72)-DATE(YEAR(DATEVALUE(O72)),MONTH(DATEVALUE(O72)),1)&amp;"дн. "</f>
      </c>
      <c r="Q72" s="2563"/>
      <c r="R72" s="2563"/>
      <c r="S72" s="2563"/>
      <c r="T72" s="2564"/>
      <c r="U72" s="2563"/>
      <c r="V72" s="2563"/>
      <c r="W72" s="2563"/>
      <c r="X72" s="2564"/>
      <c r="Y72" s="2561" t="s">
        <v>64</v>
      </c>
      <c r="Z72" s="1824"/>
      <c r="AA72" s="1808">
        <v>1</v>
      </c>
      <c r="AB72" s="1258"/>
      <c r="AD72" s="1652" t="s">
        <v>2066</v>
      </c>
    </row>
    <row s="1651" customFormat="1" customHeight="1" ht="10.5">
      <c r="A73" s="1182"/>
      <c r="B73" s="1182"/>
      <c r="C73" s="1182"/>
      <c r="D73" s="1176"/>
      <c r="E73" s="963"/>
      <c r="F73" s="2597"/>
      <c r="G73" s="2598"/>
      <c r="H73" s="2600"/>
      <c r="I73" s="2602"/>
      <c r="J73" s="2565"/>
      <c r="K73" s="2603"/>
      <c r="L73" s="2566"/>
      <c r="M73" s="2566"/>
      <c r="N73" s="2567"/>
      <c r="O73" s="2567"/>
      <c r="P73" s="2568"/>
      <c r="Q73" s="2563"/>
      <c r="R73" s="2563"/>
      <c r="S73" s="2563"/>
      <c r="T73" s="2565"/>
      <c r="U73" s="2563"/>
      <c r="V73" s="2563"/>
      <c r="W73" s="2563"/>
      <c r="X73" s="2565"/>
      <c r="Y73" s="2562"/>
      <c r="Z73" s="363"/>
      <c r="AA73" s="588"/>
      <c r="AB73" s="668" t="s">
        <v>2067</v>
      </c>
    </row>
    <row r="75" s="1831" customFormat="1" customHeight="1" ht="11.25">
      <c r="A75" s="1831" t="s">
        <v>2068</v>
      </c>
    </row>
    <row r="77" s="1651" customFormat="1" customHeight="1" ht="27">
      <c r="A77" s="1182"/>
      <c r="B77" s="1182"/>
      <c r="C77" s="1182"/>
      <c r="D77" s="1176"/>
      <c r="E77" s="1843"/>
      <c r="F77" s="1813"/>
      <c r="G77" s="1763"/>
      <c r="H77" s="1764"/>
      <c r="I77" s="1765"/>
      <c r="J77" s="1766"/>
      <c r="K77" s="1767"/>
      <c r="L77" s="1768"/>
      <c r="M77" s="1768"/>
      <c r="N77" s="1769"/>
      <c r="O77" s="1769"/>
      <c r="P77" s="1770"/>
      <c r="Q77" s="1771"/>
      <c r="R77" s="1771"/>
      <c r="S77" s="1771"/>
      <c r="T77" s="1766"/>
      <c r="U77" s="1771"/>
      <c r="V77" s="1771"/>
      <c r="W77" s="1771"/>
      <c r="X77" s="1766"/>
      <c r="Y77" s="1764"/>
      <c r="Z77" s="1824"/>
      <c r="AA77" s="1808">
        <v>1</v>
      </c>
      <c r="AB77" s="1258"/>
      <c r="AD77" s="1652" t="s">
        <v>2066</v>
      </c>
    </row>
    <row r="79" s="1831" customFormat="1" customHeight="1" ht="11.25">
      <c r="A79" s="1831" t="s">
        <v>2069</v>
      </c>
    </row>
    <row customHeight="1" ht="17.25"/>
    <row s="1651" customFormat="1" customHeight="1" ht="21">
      <c r="A81" s="1183"/>
      <c r="B81" s="1182"/>
      <c r="C81" s="1182"/>
      <c r="D81" s="1176"/>
      <c r="E81" s="1186"/>
      <c r="F81" s="1138">
        <f>INDEX(IP_MAIN_LIST_NAME_IP,MATCH(A81,IP_MAIN_LIST_IP_ID,0))&amp;" ("&amp;INDEX(IP_MAIN_START_DATE,MATCH(A81,IP_MAIN_LIST_IP_ID,0))&amp;"-"&amp;INDEX(IP_MAIN_END_DATE,MATCH(A81,IP_MAIN_LIST_IP_ID,0))&amp;")"</f>
      </c>
      <c r="G81" s="1139"/>
      <c r="H81" s="1139"/>
      <c r="I81" s="1201"/>
      <c r="J81" s="1201"/>
      <c r="K81" s="1202"/>
      <c r="L81" s="1202"/>
      <c r="M81" s="1202"/>
      <c r="N81" s="1203"/>
      <c r="O81" s="1203"/>
      <c r="P81" s="1203"/>
      <c r="Q81" s="1203"/>
      <c r="R81" s="1203"/>
      <c r="S81" s="1203"/>
      <c r="T81" s="1203"/>
      <c r="U81" s="1203"/>
      <c r="V81" s="1203"/>
      <c r="W81" s="1203"/>
      <c r="X81" s="1203"/>
      <c r="Y81" s="1203"/>
      <c r="Z81" s="1203"/>
      <c r="AA81" s="1203"/>
      <c r="AB81" s="1203"/>
      <c r="AC81" s="1203"/>
      <c r="AD81" s="1203"/>
      <c r="AE81" s="1204"/>
      <c r="AF81" s="1202"/>
      <c r="AG81" s="1202"/>
      <c r="AH81" s="1202"/>
      <c r="AI81" s="1202"/>
      <c r="AJ81" s="1202"/>
      <c r="AK81" s="1202"/>
      <c r="AL81" s="2004"/>
      <c r="AM81" s="1839"/>
      <c r="AN81" s="1839"/>
      <c r="AO81" s="1839"/>
      <c r="AP81" s="1839"/>
      <c r="AQ81" s="1839"/>
      <c r="AR81" s="1839"/>
      <c r="AS81" s="1839"/>
      <c r="AT81" s="1839"/>
      <c r="AU81" s="1839"/>
      <c r="AV81" s="1839"/>
      <c r="AW81" s="1839"/>
      <c r="AX81" s="1839"/>
      <c r="AY81" s="1839"/>
      <c r="AZ81" s="1839"/>
      <c r="BA81" s="1839"/>
      <c r="BB81" s="1839"/>
      <c r="BC81" s="1839"/>
      <c r="BD81" s="1839"/>
      <c r="BE81" s="1839"/>
      <c r="BF81" s="1839"/>
    </row>
    <row s="1651" customFormat="1" customHeight="1" ht="0.75">
      <c r="A82" s="1182"/>
      <c r="B82" s="1182"/>
      <c r="C82" s="1182"/>
      <c r="D82" s="1176"/>
      <c r="E82" s="1186"/>
      <c r="F82" s="2552"/>
      <c r="G82" s="2531"/>
      <c r="H82" s="2556" t="s">
        <v>529</v>
      </c>
      <c r="I82" s="2557"/>
      <c r="J82" s="2558"/>
      <c r="K82" s="2558"/>
      <c r="L82" s="2550"/>
      <c r="M82" s="2284"/>
      <c r="N82" s="2052"/>
      <c r="O82" s="2051"/>
      <c r="P82" s="2052"/>
      <c r="Q82" s="2052"/>
      <c r="R82" s="2052"/>
      <c r="S82" s="2052"/>
      <c r="T82" s="2052"/>
      <c r="U82" s="2052"/>
      <c r="V82" s="2052"/>
      <c r="W82" s="2052"/>
      <c r="X82" s="2052"/>
      <c r="Y82" s="2052"/>
      <c r="Z82" s="2052"/>
      <c r="AA82" s="2052"/>
      <c r="AB82" s="2052"/>
      <c r="AC82" s="2052"/>
      <c r="AD82" s="2052"/>
      <c r="AE82" s="2052"/>
      <c r="AF82" s="2554"/>
      <c r="AG82" s="2550"/>
      <c r="AH82" s="2550"/>
      <c r="AI82" s="2554"/>
      <c r="AJ82" s="2550"/>
      <c r="AK82" s="2550"/>
      <c r="AL82" s="2004"/>
      <c r="AM82" s="1839"/>
      <c r="AN82" s="1839"/>
      <c r="AO82" s="1839"/>
      <c r="AP82" s="1839"/>
      <c r="AQ82" s="1839"/>
      <c r="AR82" s="1839"/>
      <c r="AS82" s="1839"/>
      <c r="AT82" s="1839"/>
      <c r="AU82" s="1839"/>
      <c r="AV82" s="1839"/>
      <c r="AW82" s="1839"/>
      <c r="AX82" s="1839"/>
      <c r="AY82" s="1839"/>
      <c r="AZ82" s="1839"/>
      <c r="BA82" s="1839"/>
      <c r="BB82" s="1839"/>
      <c r="BC82" s="1839"/>
      <c r="BD82" s="1839"/>
      <c r="BE82" s="1839"/>
      <c r="BF82" s="1839"/>
    </row>
    <row s="1651" customFormat="1" customHeight="1" ht="0.75">
      <c r="A83" s="1182"/>
      <c r="B83" s="1182"/>
      <c r="C83" s="1182"/>
      <c r="D83" s="1176"/>
      <c r="E83" s="1186"/>
      <c r="F83" s="2552"/>
      <c r="G83" s="2531"/>
      <c r="H83" s="2556"/>
      <c r="I83" s="2557"/>
      <c r="J83" s="2558"/>
      <c r="K83" s="2558"/>
      <c r="L83" s="2550"/>
      <c r="M83" s="2284"/>
      <c r="N83" s="2559"/>
      <c r="O83" s="2560"/>
      <c r="P83" s="2604"/>
      <c r="Q83" s="2555"/>
      <c r="R83" s="2555"/>
      <c r="S83" s="2555"/>
      <c r="T83" s="2555"/>
      <c r="U83" s="2555"/>
      <c r="V83" s="2555"/>
      <c r="W83" s="2555"/>
      <c r="X83" s="2555"/>
      <c r="Y83" s="2555"/>
      <c r="Z83" s="2053"/>
      <c r="AA83" s="2054"/>
      <c r="AB83" s="2054"/>
      <c r="AC83" s="2055"/>
      <c r="AD83" s="2055"/>
      <c r="AE83" s="2056"/>
      <c r="AF83" s="2554"/>
      <c r="AG83" s="2550"/>
      <c r="AH83" s="2550"/>
      <c r="AI83" s="2554"/>
      <c r="AJ83" s="2550"/>
      <c r="AK83" s="2550"/>
      <c r="AL83" s="2004"/>
      <c r="AM83" s="1839"/>
      <c r="AN83" s="1839"/>
      <c r="AO83" s="1839"/>
      <c r="AP83" s="1839"/>
      <c r="AQ83" s="1839"/>
      <c r="AR83" s="1839"/>
      <c r="AS83" s="1839"/>
      <c r="AT83" s="1839"/>
      <c r="AU83" s="1839"/>
      <c r="AV83" s="1839"/>
      <c r="AW83" s="1839"/>
      <c r="AX83" s="1839"/>
      <c r="AY83" s="1839"/>
      <c r="AZ83" s="1839"/>
      <c r="BA83" s="1839"/>
      <c r="BB83" s="1839"/>
      <c r="BC83" s="1839"/>
      <c r="BD83" s="1839"/>
      <c r="BE83" s="1839"/>
      <c r="BF83" s="1839"/>
    </row>
    <row s="1651" customFormat="1" customHeight="1" ht="0.75">
      <c r="A84" s="1182"/>
      <c r="B84" s="1182"/>
      <c r="C84" s="1182"/>
      <c r="D84" s="1176"/>
      <c r="E84" s="1186"/>
      <c r="F84" s="2552"/>
      <c r="G84" s="2531"/>
      <c r="H84" s="2556"/>
      <c r="I84" s="2557"/>
      <c r="J84" s="2558"/>
      <c r="K84" s="2558"/>
      <c r="L84" s="2550"/>
      <c r="M84" s="2284"/>
      <c r="N84" s="2559"/>
      <c r="O84" s="2560"/>
      <c r="P84" s="2605"/>
      <c r="Q84" s="2555"/>
      <c r="R84" s="2555"/>
      <c r="S84" s="2555"/>
      <c r="T84" s="2555"/>
      <c r="U84" s="2555"/>
      <c r="V84" s="2555"/>
      <c r="W84" s="2555"/>
      <c r="X84" s="2555"/>
      <c r="Y84" s="2555"/>
      <c r="Z84" s="2057"/>
      <c r="AA84" s="2058"/>
      <c r="AB84" s="2059"/>
      <c r="AC84" s="2060"/>
      <c r="AD84" s="2059"/>
      <c r="AE84" s="2060"/>
      <c r="AF84" s="2554"/>
      <c r="AG84" s="2550"/>
      <c r="AH84" s="2550"/>
      <c r="AI84" s="2554"/>
      <c r="AJ84" s="2550"/>
      <c r="AK84" s="2550"/>
      <c r="AL84" s="2004"/>
      <c r="AM84" s="1839"/>
      <c r="AN84" s="1839"/>
      <c r="AO84" s="1839"/>
      <c r="AP84" s="1839"/>
      <c r="AQ84" s="1839"/>
      <c r="AR84" s="1839"/>
      <c r="AS84" s="1839"/>
      <c r="AT84" s="1839"/>
      <c r="AU84" s="1839"/>
      <c r="AV84" s="1839"/>
      <c r="AW84" s="1839"/>
      <c r="AX84" s="1839"/>
      <c r="AY84" s="1839"/>
      <c r="AZ84" s="1839"/>
      <c r="BA84" s="1839"/>
      <c r="BB84" s="1839"/>
      <c r="BC84" s="1839"/>
      <c r="BD84" s="1839"/>
      <c r="BE84" s="1839"/>
      <c r="BF84" s="1839"/>
    </row>
    <row s="1651" customFormat="1" customHeight="1" ht="0.75">
      <c r="A85" s="1182"/>
      <c r="B85" s="1182"/>
      <c r="C85" s="1182"/>
      <c r="D85" s="1176"/>
      <c r="E85" s="1186"/>
      <c r="F85" s="2552"/>
      <c r="G85" s="2531"/>
      <c r="H85" s="2556"/>
      <c r="I85" s="2557"/>
      <c r="J85" s="2558"/>
      <c r="K85" s="2558"/>
      <c r="L85" s="2550"/>
      <c r="M85" s="2284"/>
      <c r="N85" s="2559"/>
      <c r="O85" s="2560"/>
      <c r="P85" s="2606"/>
      <c r="Q85" s="2555"/>
      <c r="R85" s="2555"/>
      <c r="S85" s="2555"/>
      <c r="T85" s="2555"/>
      <c r="U85" s="2555"/>
      <c r="V85" s="2555"/>
      <c r="W85" s="2555"/>
      <c r="X85" s="2555"/>
      <c r="Y85" s="2555"/>
      <c r="Z85" s="2053"/>
      <c r="AA85" s="2054"/>
      <c r="AB85" s="2061"/>
      <c r="AC85" s="2055"/>
      <c r="AD85" s="2055"/>
      <c r="AE85" s="2062"/>
      <c r="AF85" s="2554"/>
      <c r="AG85" s="2550"/>
      <c r="AH85" s="2550"/>
      <c r="AI85" s="2554"/>
      <c r="AJ85" s="2550"/>
      <c r="AK85" s="2550"/>
      <c r="AL85" s="2004"/>
      <c r="AM85" s="1839"/>
      <c r="AN85" s="1839"/>
      <c r="AO85" s="1839"/>
      <c r="AP85" s="1839"/>
      <c r="AQ85" s="1839"/>
      <c r="AR85" s="1839"/>
      <c r="AS85" s="1839"/>
      <c r="AT85" s="1839"/>
      <c r="AU85" s="1839"/>
      <c r="AV85" s="1839"/>
      <c r="AW85" s="1839"/>
      <c r="AX85" s="1839"/>
      <c r="AY85" s="1839"/>
      <c r="AZ85" s="1839"/>
      <c r="BA85" s="1839"/>
      <c r="BB85" s="1839"/>
      <c r="BC85" s="1839"/>
      <c r="BD85" s="1839"/>
      <c r="BE85" s="1839"/>
      <c r="BF85" s="1839"/>
    </row>
    <row s="1651" customFormat="1" customHeight="1" ht="0.75">
      <c r="A86" s="1182"/>
      <c r="B86" s="1182"/>
      <c r="C86" s="1182"/>
      <c r="D86" s="1176"/>
      <c r="E86" s="1186"/>
      <c r="F86" s="2552"/>
      <c r="G86" s="2531"/>
      <c r="H86" s="2556"/>
      <c r="I86" s="2557"/>
      <c r="J86" s="2558"/>
      <c r="K86" s="2558"/>
      <c r="L86" s="2550"/>
      <c r="M86" s="2284"/>
      <c r="N86" s="2054"/>
      <c r="O86" s="2054"/>
      <c r="P86" s="2061"/>
      <c r="Q86" s="2054"/>
      <c r="R86" s="2054"/>
      <c r="S86" s="2054"/>
      <c r="T86" s="2054"/>
      <c r="U86" s="2054"/>
      <c r="V86" s="2054"/>
      <c r="W86" s="2054"/>
      <c r="X86" s="2054"/>
      <c r="Y86" s="2054"/>
      <c r="Z86" s="2054"/>
      <c r="AA86" s="2054"/>
      <c r="AB86" s="2054"/>
      <c r="AC86" s="2054"/>
      <c r="AD86" s="2054"/>
      <c r="AE86" s="2063"/>
      <c r="AF86" s="2554"/>
      <c r="AG86" s="2550"/>
      <c r="AH86" s="2550"/>
      <c r="AI86" s="2554"/>
      <c r="AJ86" s="2550"/>
      <c r="AK86" s="2550"/>
      <c r="AL86" s="2004"/>
      <c r="AM86" s="1839"/>
      <c r="AN86" s="1839"/>
      <c r="AO86" s="1839"/>
      <c r="AP86" s="1839"/>
      <c r="AQ86" s="1839"/>
      <c r="AR86" s="1839"/>
      <c r="AS86" s="1839"/>
      <c r="AT86" s="1839"/>
      <c r="AU86" s="1839"/>
      <c r="AV86" s="1839"/>
      <c r="AW86" s="1839"/>
      <c r="AX86" s="1839"/>
      <c r="AY86" s="1839"/>
      <c r="AZ86" s="1839"/>
      <c r="BA86" s="1839"/>
      <c r="BB86" s="1839"/>
      <c r="BC86" s="1839"/>
      <c r="BD86" s="1839"/>
      <c r="BE86" s="1839"/>
      <c r="BF86" s="1839"/>
    </row>
    <row s="1651" customFormat="1" customHeight="1" ht="12">
      <c r="A87" s="1182"/>
      <c r="B87" s="1182"/>
      <c r="C87" s="1182"/>
      <c r="D87" s="1176"/>
      <c r="E87" s="1186"/>
      <c r="F87" s="2553"/>
      <c r="G87" s="1206"/>
      <c r="H87" s="1206"/>
      <c r="I87" s="2551" t="s">
        <v>2070</v>
      </c>
      <c r="J87" s="2551"/>
      <c r="K87" s="2551"/>
      <c r="L87" s="1189"/>
      <c r="M87" s="1189"/>
      <c r="N87" s="1190"/>
      <c r="O87" s="1190"/>
      <c r="P87" s="1190"/>
      <c r="Q87" s="1190"/>
      <c r="R87" s="1190"/>
      <c r="S87" s="1190"/>
      <c r="T87" s="1190"/>
      <c r="U87" s="1190"/>
      <c r="V87" s="1190"/>
      <c r="W87" s="1190"/>
      <c r="X87" s="1190"/>
      <c r="Y87" s="1190"/>
      <c r="Z87" s="1190"/>
      <c r="AA87" s="1190"/>
      <c r="AB87" s="1190"/>
      <c r="AC87" s="1190"/>
      <c r="AD87" s="1190"/>
      <c r="AE87" s="1190"/>
      <c r="AF87" s="1190"/>
      <c r="AG87" s="1189"/>
      <c r="AH87" s="1189"/>
      <c r="AI87" s="1190"/>
      <c r="AJ87" s="1189"/>
      <c r="AK87" s="1190"/>
      <c r="AL87" s="2004"/>
      <c r="AM87" s="1839"/>
      <c r="AN87" s="1839"/>
      <c r="AO87" s="1839"/>
      <c r="AP87" s="1839"/>
      <c r="AQ87" s="1839"/>
      <c r="AR87" s="1839"/>
      <c r="AS87" s="1839"/>
      <c r="AT87" s="1839"/>
      <c r="AU87" s="1839"/>
      <c r="AV87" s="1839"/>
      <c r="AW87" s="1839"/>
      <c r="AX87" s="1839"/>
      <c r="AY87" s="1839"/>
      <c r="AZ87" s="1839"/>
      <c r="BA87" s="1839"/>
      <c r="BB87" s="1839"/>
      <c r="BC87" s="1839"/>
      <c r="BD87" s="1839"/>
      <c r="BE87" s="1839"/>
      <c r="BF87" s="1839"/>
    </row>
    <row r="89" s="1831" customFormat="1" customHeight="1" ht="11.25">
      <c r="A89" s="1831" t="s">
        <v>2071</v>
      </c>
    </row>
    <row r="91" s="1651" customFormat="1" customHeight="1" ht="11.25">
      <c r="A91" s="1182"/>
      <c r="B91" s="1182"/>
      <c r="C91" s="1182"/>
      <c r="D91" s="1176"/>
      <c r="E91" s="1186"/>
      <c r="F91" s="1845"/>
      <c r="G91" s="1846"/>
      <c r="H91" s="1846"/>
      <c r="I91" s="1780"/>
      <c r="J91" s="1780"/>
      <c r="K91" s="1847"/>
      <c r="L91" s="1780"/>
      <c r="M91" s="1846"/>
      <c r="N91" s="2524"/>
      <c r="O91" s="2607">
        <v>1</v>
      </c>
      <c r="P91" s="2526" t="s">
        <v>19</v>
      </c>
      <c r="Q91" s="2529" t="s">
        <v>28</v>
      </c>
      <c r="R91" s="2529" t="s">
        <v>28</v>
      </c>
      <c r="S91" s="2529" t="s">
        <v>28</v>
      </c>
      <c r="T91" s="2529" t="s">
        <v>28</v>
      </c>
      <c r="U91" s="2529" t="s">
        <v>28</v>
      </c>
      <c r="V91" s="2529" t="s">
        <v>28</v>
      </c>
      <c r="W91" s="2529" t="s">
        <v>28</v>
      </c>
      <c r="X91" s="2529" t="s">
        <v>28</v>
      </c>
      <c r="Y91" s="2529"/>
      <c r="Z91" s="1191"/>
      <c r="AA91" s="1192"/>
      <c r="AB91" s="1192"/>
      <c r="AC91" s="1196"/>
      <c r="AD91" s="1196"/>
      <c r="AE91" s="1196"/>
      <c r="AF91" s="1848"/>
      <c r="AG91" s="1775"/>
      <c r="AH91" s="1775"/>
      <c r="AI91" s="1848"/>
      <c r="AJ91" s="1775"/>
      <c r="AK91" s="2003"/>
      <c r="AL91" s="2004"/>
      <c r="AM91" s="1839"/>
      <c r="AN91" s="1839"/>
      <c r="AO91" s="1839"/>
      <c r="AP91" s="1839"/>
      <c r="AQ91" s="1839"/>
      <c r="AR91" s="1839"/>
      <c r="AS91" s="1839"/>
      <c r="AT91" s="1839"/>
      <c r="AU91" s="1839"/>
      <c r="AV91" s="1839"/>
      <c r="AW91" s="1839"/>
      <c r="AX91" s="1839"/>
      <c r="AY91" s="1839"/>
      <c r="AZ91" s="1839"/>
      <c r="BA91" s="1839"/>
      <c r="BB91" s="1839"/>
      <c r="BC91" s="1839"/>
      <c r="BD91" s="1839"/>
      <c r="BE91" s="1839"/>
      <c r="BF91" s="1839"/>
    </row>
    <row s="1651" customFormat="1" customHeight="1" ht="11.25">
      <c r="A92" s="1182"/>
      <c r="B92" s="1182"/>
      <c r="C92" s="1182"/>
      <c r="D92" s="1176"/>
      <c r="E92" s="1186"/>
      <c r="F92" s="1845"/>
      <c r="G92" s="1846"/>
      <c r="H92" s="1846"/>
      <c r="I92" s="1781"/>
      <c r="J92" s="1781"/>
      <c r="K92" s="1847"/>
      <c r="L92" s="1781"/>
      <c r="M92" s="1846"/>
      <c r="N92" s="2524"/>
      <c r="O92" s="2607"/>
      <c r="P92" s="2527"/>
      <c r="Q92" s="2529"/>
      <c r="R92" s="2529"/>
      <c r="S92" s="2530"/>
      <c r="T92" s="2529"/>
      <c r="U92" s="2529"/>
      <c r="V92" s="2529"/>
      <c r="W92" s="2529"/>
      <c r="X92" s="2529"/>
      <c r="Y92" s="2529"/>
      <c r="Z92" s="1844"/>
      <c r="AA92" s="1810">
        <v>1</v>
      </c>
      <c r="AB92" s="1195"/>
      <c r="AC92" s="1185"/>
      <c r="AD92" s="1195">
        <f>AB92</f>
        <v>0</v>
      </c>
      <c r="AE92" s="740"/>
      <c r="AF92" s="1847"/>
      <c r="AG92" s="1775"/>
      <c r="AH92" s="1775"/>
      <c r="AI92" s="1847"/>
      <c r="AJ92" s="1775"/>
      <c r="AK92" s="2003"/>
      <c r="AL92" s="2004"/>
      <c r="AM92" s="1839"/>
      <c r="AN92" s="1839"/>
      <c r="AO92" s="1839"/>
      <c r="AP92" s="1839"/>
      <c r="AQ92" s="1839"/>
      <c r="AR92" s="1839"/>
      <c r="AS92" s="1839"/>
      <c r="AT92" s="1839"/>
      <c r="AU92" s="1839"/>
      <c r="AV92" s="1839"/>
      <c r="AW92" s="1839"/>
      <c r="AX92" s="1839"/>
      <c r="AY92" s="1839"/>
      <c r="AZ92" s="1839"/>
      <c r="BA92" s="1839"/>
      <c r="BB92" s="1839"/>
      <c r="BC92" s="1839"/>
      <c r="BD92" s="1839"/>
      <c r="BE92" s="1839"/>
      <c r="BF92" s="1839"/>
    </row>
    <row s="1651" customFormat="1" customHeight="1" ht="11.25">
      <c r="A93" s="1182"/>
      <c r="B93" s="1182"/>
      <c r="C93" s="1182"/>
      <c r="D93" s="1176"/>
      <c r="E93" s="1186"/>
      <c r="F93" s="1845"/>
      <c r="G93" s="1846"/>
      <c r="H93" s="1846"/>
      <c r="I93" s="1782"/>
      <c r="J93" s="1782"/>
      <c r="K93" s="1847"/>
      <c r="L93" s="1782"/>
      <c r="M93" s="1846"/>
      <c r="N93" s="2524"/>
      <c r="O93" s="2607"/>
      <c r="P93" s="2528"/>
      <c r="Q93" s="2529"/>
      <c r="R93" s="2529"/>
      <c r="S93" s="2530"/>
      <c r="T93" s="2529"/>
      <c r="U93" s="2529"/>
      <c r="V93" s="2529"/>
      <c r="W93" s="2529"/>
      <c r="X93" s="2529"/>
      <c r="Y93" s="2529"/>
      <c r="Z93" s="1191"/>
      <c r="AA93" s="1192"/>
      <c r="AB93" s="1257" t="s">
        <v>2072</v>
      </c>
      <c r="AC93" s="1196"/>
      <c r="AD93" s="1196"/>
      <c r="AE93" s="1196"/>
      <c r="AF93" s="1849"/>
      <c r="AG93" s="1775"/>
      <c r="AH93" s="1775"/>
      <c r="AI93" s="1849"/>
      <c r="AJ93" s="1775"/>
      <c r="AK93" s="2003"/>
      <c r="AL93" s="2004"/>
      <c r="AM93" s="1839"/>
      <c r="AN93" s="1839"/>
      <c r="AO93" s="1839"/>
      <c r="AP93" s="1839"/>
      <c r="AQ93" s="1839"/>
      <c r="AR93" s="1839"/>
      <c r="AS93" s="1839"/>
      <c r="AT93" s="1839"/>
      <c r="AU93" s="1839"/>
      <c r="AV93" s="1839"/>
      <c r="AW93" s="1839"/>
      <c r="AX93" s="1839"/>
      <c r="AY93" s="1839"/>
      <c r="AZ93" s="1839"/>
      <c r="BA93" s="1839"/>
      <c r="BB93" s="1839"/>
      <c r="BC93" s="1839"/>
      <c r="BD93" s="1839"/>
      <c r="BE93" s="1839"/>
      <c r="BF93" s="1839"/>
    </row>
    <row r="95" s="1831" customFormat="1" customHeight="1" ht="11.25">
      <c r="A95" s="1831" t="s">
        <v>2073</v>
      </c>
    </row>
    <row r="97" s="1651" customFormat="1" customHeight="1" ht="11.25">
      <c r="A97" s="1182"/>
      <c r="B97" s="1182"/>
      <c r="C97" s="1182"/>
      <c r="D97" s="1176"/>
      <c r="E97" s="1186"/>
      <c r="F97" s="1846"/>
      <c r="G97" s="1846"/>
      <c r="H97" s="1846"/>
      <c r="I97" s="1846"/>
      <c r="J97" s="1846"/>
      <c r="K97" s="1846"/>
      <c r="L97" s="1846"/>
      <c r="M97" s="1846"/>
      <c r="N97" s="1846"/>
      <c r="O97" s="1846"/>
      <c r="P97" s="1846"/>
      <c r="Q97" s="1846"/>
      <c r="R97" s="1846"/>
      <c r="S97" s="1846"/>
      <c r="T97" s="1846"/>
      <c r="U97" s="1846"/>
      <c r="V97" s="1846"/>
      <c r="W97" s="1846"/>
      <c r="X97" s="1846"/>
      <c r="Y97" s="1846"/>
      <c r="Z97" s="1850"/>
      <c r="AA97" s="1830">
        <v>1</v>
      </c>
      <c r="AB97" s="1195"/>
      <c r="AC97" s="1185"/>
      <c r="AD97" s="1195">
        <f>AB97</f>
        <v>0</v>
      </c>
      <c r="AE97" s="1185"/>
      <c r="AF97" s="1847"/>
      <c r="AG97" s="1775"/>
      <c r="AH97" s="1775"/>
      <c r="AI97" s="1847"/>
      <c r="AJ97" s="1775"/>
      <c r="AK97" s="2003"/>
      <c r="AL97" s="2004"/>
      <c r="AM97" s="1839"/>
      <c r="AN97" s="1839"/>
      <c r="AO97" s="1839"/>
      <c r="AP97" s="1839"/>
      <c r="AQ97" s="1839"/>
      <c r="AR97" s="1839"/>
      <c r="AS97" s="1839"/>
      <c r="AT97" s="1839"/>
      <c r="AU97" s="1839"/>
      <c r="AV97" s="1839"/>
      <c r="AW97" s="1839"/>
      <c r="AX97" s="1839"/>
      <c r="AY97" s="1839"/>
      <c r="AZ97" s="1839"/>
      <c r="BA97" s="1839"/>
      <c r="BB97" s="1839"/>
      <c r="BC97" s="1839"/>
      <c r="BD97" s="1839"/>
      <c r="BE97" s="1839"/>
      <c r="BF97" s="1839"/>
    </row>
    <row r="99" s="1831" customFormat="1" customHeight="1" ht="11.25">
      <c r="A99" s="1831" t="s">
        <v>2074</v>
      </c>
    </row>
    <row r="101" s="1651" customFormat="1" customHeight="1" ht="11.25">
      <c r="A101" s="1182"/>
      <c r="B101" s="1182"/>
      <c r="C101" s="1182"/>
      <c r="D101" s="1176"/>
      <c r="E101" s="1186"/>
      <c r="F101" s="1845"/>
      <c r="G101" s="1846"/>
      <c r="H101" s="2531" t="s">
        <v>141</v>
      </c>
      <c r="I101" s="2532"/>
      <c r="J101" s="2501"/>
      <c r="K101" s="2533"/>
      <c r="L101" s="2123" t="s">
        <v>19</v>
      </c>
      <c r="M101" s="2124"/>
      <c r="N101" s="2002"/>
      <c r="O101" s="1193" t="s">
        <v>529</v>
      </c>
      <c r="P101" s="1194"/>
      <c r="Q101" s="1194"/>
      <c r="R101" s="1194"/>
      <c r="S101" s="1194"/>
      <c r="T101" s="1194"/>
      <c r="U101" s="1194"/>
      <c r="V101" s="1194"/>
      <c r="W101" s="1194"/>
      <c r="X101" s="1194"/>
      <c r="Y101" s="1194"/>
      <c r="Z101" s="1194"/>
      <c r="AA101" s="1194"/>
      <c r="AB101" s="1194"/>
      <c r="AC101" s="1194"/>
      <c r="AD101" s="1194"/>
      <c r="AE101" s="1194"/>
      <c r="AF101" s="2522"/>
      <c r="AG101" s="2523"/>
      <c r="AH101" s="2523"/>
      <c r="AI101" s="2522"/>
      <c r="AJ101" s="2523"/>
      <c r="AK101" s="2523"/>
      <c r="AL101" s="2004"/>
      <c r="AM101" s="1839"/>
      <c r="AN101" s="1839"/>
      <c r="AO101" s="1839"/>
      <c r="AP101" s="1839"/>
      <c r="AQ101" s="1839"/>
      <c r="AR101" s="1839"/>
      <c r="AS101" s="1839"/>
      <c r="AT101" s="1839"/>
      <c r="AU101" s="1839"/>
      <c r="AV101" s="1839"/>
      <c r="AW101" s="1839"/>
      <c r="AX101" s="1839"/>
      <c r="AY101" s="1839"/>
      <c r="AZ101" s="1839"/>
      <c r="BA101" s="1839"/>
      <c r="BB101" s="1839"/>
      <c r="BC101" s="1839"/>
      <c r="BD101" s="1839"/>
      <c r="BE101" s="1839"/>
      <c r="BF101" s="1839"/>
    </row>
    <row s="1651" customFormat="1" customHeight="1" ht="11.25">
      <c r="A102" s="1182"/>
      <c r="B102" s="1182"/>
      <c r="C102" s="1182"/>
      <c r="D102" s="1176"/>
      <c r="E102" s="1186"/>
      <c r="F102" s="1845"/>
      <c r="G102" s="1846"/>
      <c r="H102" s="2531"/>
      <c r="I102" s="2532"/>
      <c r="J102" s="2501"/>
      <c r="K102" s="2533"/>
      <c r="L102" s="2123"/>
      <c r="M102" s="2124"/>
      <c r="N102" s="2524"/>
      <c r="O102" s="2525">
        <v>1</v>
      </c>
      <c r="P102" s="2526" t="s">
        <v>19</v>
      </c>
      <c r="Q102" s="2529" t="s">
        <v>28</v>
      </c>
      <c r="R102" s="2529" t="s">
        <v>28</v>
      </c>
      <c r="S102" s="2529" t="s">
        <v>28</v>
      </c>
      <c r="T102" s="2529" t="s">
        <v>28</v>
      </c>
      <c r="U102" s="2529" t="s">
        <v>28</v>
      </c>
      <c r="V102" s="2529" t="s">
        <v>28</v>
      </c>
      <c r="W102" s="2529" t="s">
        <v>28</v>
      </c>
      <c r="X102" s="2529" t="s">
        <v>28</v>
      </c>
      <c r="Y102" s="2529"/>
      <c r="Z102" s="1191"/>
      <c r="AA102" s="1192"/>
      <c r="AB102" s="1192"/>
      <c r="AC102" s="1196"/>
      <c r="AD102" s="1196"/>
      <c r="AE102" s="1197"/>
      <c r="AF102" s="2522"/>
      <c r="AG102" s="2523"/>
      <c r="AH102" s="2523"/>
      <c r="AI102" s="2522"/>
      <c r="AJ102" s="2523"/>
      <c r="AK102" s="2523"/>
      <c r="AL102" s="2004"/>
      <c r="AM102" s="1839"/>
      <c r="AN102" s="1839"/>
      <c r="AO102" s="1839"/>
      <c r="AP102" s="1839"/>
      <c r="AQ102" s="1839"/>
      <c r="AR102" s="1839"/>
      <c r="AS102" s="1839"/>
      <c r="AT102" s="1839"/>
      <c r="AU102" s="1839"/>
      <c r="AV102" s="1839"/>
      <c r="AW102" s="1839"/>
      <c r="AX102" s="1839"/>
      <c r="AY102" s="1839"/>
      <c r="AZ102" s="1839"/>
      <c r="BA102" s="1839"/>
      <c r="BB102" s="1839"/>
      <c r="BC102" s="1839"/>
      <c r="BD102" s="1839"/>
      <c r="BE102" s="1839"/>
      <c r="BF102" s="1839"/>
    </row>
    <row s="1651" customFormat="1" customHeight="1" ht="11.25">
      <c r="A103" s="1182"/>
      <c r="B103" s="1182"/>
      <c r="C103" s="1182"/>
      <c r="D103" s="1176"/>
      <c r="E103" s="1186"/>
      <c r="F103" s="1845"/>
      <c r="G103" s="1846"/>
      <c r="H103" s="2531"/>
      <c r="I103" s="2532"/>
      <c r="J103" s="2501"/>
      <c r="K103" s="2533"/>
      <c r="L103" s="2123"/>
      <c r="M103" s="2124"/>
      <c r="N103" s="2524"/>
      <c r="O103" s="2525"/>
      <c r="P103" s="2527"/>
      <c r="Q103" s="2529"/>
      <c r="R103" s="2529"/>
      <c r="S103" s="2530"/>
      <c r="T103" s="2529"/>
      <c r="U103" s="2529"/>
      <c r="V103" s="2529"/>
      <c r="W103" s="2529"/>
      <c r="X103" s="2529"/>
      <c r="Y103" s="2529"/>
      <c r="Z103" s="1844"/>
      <c r="AA103" s="1810">
        <v>1</v>
      </c>
      <c r="AB103" s="1195"/>
      <c r="AC103" s="1185"/>
      <c r="AD103" s="1195">
        <f>AB103</f>
        <v>0</v>
      </c>
      <c r="AE103" s="1185"/>
      <c r="AF103" s="2522"/>
      <c r="AG103" s="2523"/>
      <c r="AH103" s="2523"/>
      <c r="AI103" s="2522"/>
      <c r="AJ103" s="2523"/>
      <c r="AK103" s="2523"/>
      <c r="AL103" s="2004"/>
      <c r="AM103" s="1839"/>
      <c r="AN103" s="1839"/>
      <c r="AO103" s="1839"/>
      <c r="AP103" s="1839"/>
      <c r="AQ103" s="1839"/>
      <c r="AR103" s="1839"/>
      <c r="AS103" s="1839"/>
      <c r="AT103" s="1839"/>
      <c r="AU103" s="1839"/>
      <c r="AV103" s="1839"/>
      <c r="AW103" s="1839"/>
      <c r="AX103" s="1839"/>
      <c r="AY103" s="1839"/>
      <c r="AZ103" s="1839"/>
      <c r="BA103" s="1839"/>
      <c r="BB103" s="1839"/>
      <c r="BC103" s="1839"/>
      <c r="BD103" s="1839"/>
      <c r="BE103" s="1839"/>
      <c r="BF103" s="1839"/>
    </row>
    <row s="1651" customFormat="1" customHeight="1" ht="11.25">
      <c r="A104" s="1182"/>
      <c r="B104" s="1182"/>
      <c r="C104" s="1182"/>
      <c r="D104" s="1176"/>
      <c r="E104" s="1186"/>
      <c r="F104" s="1845"/>
      <c r="G104" s="1846"/>
      <c r="H104" s="2531"/>
      <c r="I104" s="2532"/>
      <c r="J104" s="2501"/>
      <c r="K104" s="2533"/>
      <c r="L104" s="2123"/>
      <c r="M104" s="2124"/>
      <c r="N104" s="2524"/>
      <c r="O104" s="2525"/>
      <c r="P104" s="2528"/>
      <c r="Q104" s="2529"/>
      <c r="R104" s="2529"/>
      <c r="S104" s="2530"/>
      <c r="T104" s="2529"/>
      <c r="U104" s="2529"/>
      <c r="V104" s="2529"/>
      <c r="W104" s="2529"/>
      <c r="X104" s="2529"/>
      <c r="Y104" s="2529"/>
      <c r="Z104" s="1191"/>
      <c r="AA104" s="1192"/>
      <c r="AB104" s="1257" t="s">
        <v>2072</v>
      </c>
      <c r="AC104" s="1196"/>
      <c r="AD104" s="1196"/>
      <c r="AE104" s="1198"/>
      <c r="AF104" s="2522"/>
      <c r="AG104" s="2523"/>
      <c r="AH104" s="2523"/>
      <c r="AI104" s="2522"/>
      <c r="AJ104" s="2523"/>
      <c r="AK104" s="2523"/>
      <c r="AL104" s="2004"/>
      <c r="AM104" s="1839"/>
      <c r="AN104" s="1839"/>
      <c r="AO104" s="1839"/>
      <c r="AP104" s="1839"/>
      <c r="AQ104" s="1839"/>
      <c r="AR104" s="1839"/>
      <c r="AS104" s="1839"/>
      <c r="AT104" s="1839"/>
      <c r="AU104" s="1839"/>
      <c r="AV104" s="1839"/>
      <c r="AW104" s="1839"/>
      <c r="AX104" s="1839"/>
      <c r="AY104" s="1839"/>
      <c r="AZ104" s="1839"/>
      <c r="BA104" s="1839"/>
      <c r="BB104" s="1839"/>
      <c r="BC104" s="1839"/>
      <c r="BD104" s="1839"/>
      <c r="BE104" s="1839"/>
      <c r="BF104" s="1839"/>
    </row>
    <row s="1651" customFormat="1" customHeight="1" ht="11.25">
      <c r="A105" s="1182"/>
      <c r="B105" s="1182"/>
      <c r="C105" s="1182"/>
      <c r="D105" s="1176"/>
      <c r="E105" s="1186"/>
      <c r="F105" s="1845"/>
      <c r="G105" s="1846"/>
      <c r="H105" s="2531"/>
      <c r="I105" s="2532"/>
      <c r="J105" s="2501"/>
      <c r="K105" s="2533"/>
      <c r="L105" s="2123"/>
      <c r="M105" s="2124"/>
      <c r="N105" s="1191"/>
      <c r="O105" s="1192"/>
      <c r="P105" s="1184" t="s">
        <v>2075</v>
      </c>
      <c r="Q105" s="1192"/>
      <c r="R105" s="1192"/>
      <c r="S105" s="1192"/>
      <c r="T105" s="1192"/>
      <c r="U105" s="1192"/>
      <c r="V105" s="1192"/>
      <c r="W105" s="1192"/>
      <c r="X105" s="1192"/>
      <c r="Y105" s="1192"/>
      <c r="Z105" s="1192"/>
      <c r="AA105" s="1192"/>
      <c r="AB105" s="1192"/>
      <c r="AC105" s="1192"/>
      <c r="AD105" s="1192"/>
      <c r="AE105" s="1199"/>
      <c r="AF105" s="2522"/>
      <c r="AG105" s="2523"/>
      <c r="AH105" s="2523"/>
      <c r="AI105" s="2522"/>
      <c r="AJ105" s="2523"/>
      <c r="AK105" s="2523"/>
      <c r="AL105" s="2004"/>
      <c r="AM105" s="1839"/>
      <c r="AN105" s="1839"/>
      <c r="AO105" s="1839"/>
      <c r="AP105" s="1839"/>
      <c r="AQ105" s="1839"/>
      <c r="AR105" s="1839"/>
      <c r="AS105" s="1839"/>
      <c r="AT105" s="1839"/>
      <c r="AU105" s="1839"/>
      <c r="AV105" s="1839"/>
      <c r="AW105" s="1839"/>
      <c r="AX105" s="1839"/>
      <c r="AY105" s="1839"/>
      <c r="AZ105" s="1839"/>
      <c r="BA105" s="1839"/>
      <c r="BB105" s="1839"/>
      <c r="BC105" s="1839"/>
      <c r="BD105" s="1839"/>
      <c r="BE105" s="1839"/>
      <c r="BF105" s="1839"/>
    </row>
    <row r="107" s="1831" customFormat="1" customHeight="1" ht="11.25">
      <c r="A107" s="1831" t="s">
        <v>2076</v>
      </c>
    </row>
    <row customHeight="1" ht="17.25"/>
    <row s="941" customFormat="1" customHeight="1" ht="21">
      <c r="A109" s="1183"/>
      <c r="B109" s="956"/>
      <c r="D109" s="940"/>
      <c r="E109" s="955" t="s">
        <v>28</v>
      </c>
      <c r="F109" s="1137">
        <f>INDEX(IP_MAIN_LIST_NAME_IP,MATCH(A109,IP_MAIN_LIST_IP_ID,0))&amp;" ("&amp;INDEX(IP_MAIN_START_DATE,MATCH(A109,IP_MAIN_LIST_IP_ID,0))&amp;"-"&amp;INDEX(IP_MAIN_END_DATE,MATCH(A109,IP_MAIN_LIST_IP_ID,0))&amp;")"</f>
      </c>
      <c r="G109" s="1219"/>
      <c r="H109" s="1220"/>
      <c r="I109" s="1220"/>
      <c r="J109" s="1220"/>
      <c r="K109" s="1220"/>
      <c r="L109" s="1220"/>
      <c r="M109" s="1220"/>
      <c r="N109" s="1220"/>
      <c r="O109" s="1219"/>
      <c r="P109" s="1219"/>
      <c r="Q109" s="1219"/>
      <c r="R109" s="1219"/>
      <c r="S109" s="1219"/>
      <c r="T109" s="1219"/>
      <c r="U109" s="1221"/>
      <c r="V109" s="1221"/>
      <c r="W109" s="1221"/>
      <c r="X109" s="1221"/>
      <c r="Y109" s="1221"/>
      <c r="Z109" s="1221"/>
      <c r="AA109" s="1221"/>
      <c r="AB109" s="1219"/>
      <c r="AC109" s="1220"/>
      <c r="AD109" s="1220"/>
      <c r="AE109" s="1220"/>
      <c r="AF109" s="1220"/>
      <c r="AG109" s="1220"/>
      <c r="AH109" s="1220"/>
      <c r="AI109" s="1220"/>
      <c r="AJ109" s="1220"/>
      <c r="AK109" s="1220"/>
      <c r="AL109" s="1220"/>
      <c r="AM109" s="1220"/>
      <c r="AN109" s="1220"/>
      <c r="AO109" s="1220"/>
      <c r="AP109" s="1220"/>
      <c r="AQ109" s="1220"/>
      <c r="AR109" s="1220"/>
      <c r="AS109" s="1220"/>
      <c r="AT109" s="1220"/>
      <c r="AU109" s="1220"/>
      <c r="AV109" s="1220"/>
      <c r="AW109" s="1220"/>
      <c r="AX109" s="1220"/>
      <c r="AY109" s="1220"/>
      <c r="AZ109" s="1220"/>
      <c r="BA109" s="1220"/>
      <c r="BB109" s="1220"/>
      <c r="BC109" s="1220"/>
      <c r="BD109" s="1220"/>
      <c r="BE109" s="1220"/>
      <c r="BF109" s="1220"/>
      <c r="BG109" s="1220"/>
      <c r="BH109" s="1220"/>
      <c r="BI109" s="1220"/>
      <c r="BJ109" s="1220"/>
      <c r="BK109" s="1220"/>
      <c r="BL109" s="1220"/>
      <c r="BM109" s="1220"/>
      <c r="BN109" s="1220"/>
      <c r="BO109" s="1220"/>
      <c r="BP109" s="1220"/>
      <c r="BQ109" s="1220"/>
      <c r="BR109" s="1220"/>
      <c r="BS109" s="1220"/>
      <c r="BT109" s="1220"/>
      <c r="BU109" s="1220"/>
      <c r="BV109" s="1220"/>
      <c r="BW109" s="1220"/>
      <c r="BX109" s="1220"/>
      <c r="BY109" s="1220"/>
      <c r="BZ109" s="1220"/>
      <c r="CA109" s="1220"/>
      <c r="CB109" s="1220"/>
      <c r="CC109" s="1220"/>
      <c r="CD109" s="1220"/>
      <c r="CE109" s="1220"/>
      <c r="CF109" s="1220"/>
      <c r="CG109" s="1220"/>
      <c r="CH109" s="1220"/>
      <c r="CI109" s="1220"/>
      <c r="CJ109" s="1220"/>
      <c r="CK109" s="1220"/>
      <c r="CL109" s="1222"/>
      <c r="CM109" s="1222"/>
      <c r="CN109" s="1222"/>
      <c r="CO109" s="1222"/>
      <c r="CP109" s="1222"/>
      <c r="CQ109" s="1222"/>
      <c r="CR109" s="1222"/>
      <c r="CS109" s="1222"/>
      <c r="CT109" s="1222"/>
      <c r="CU109" s="1222"/>
      <c r="CV109" s="1222"/>
      <c r="CW109" s="1222"/>
      <c r="CX109" s="1222"/>
      <c r="CY109" s="1222"/>
      <c r="CZ109" s="1222"/>
      <c r="DA109" s="1222"/>
      <c r="DB109" s="1222"/>
      <c r="DC109" s="1222"/>
      <c r="DD109" s="1222"/>
      <c r="DE109" s="1222"/>
      <c r="DF109" s="1222"/>
      <c r="DG109" s="1222"/>
      <c r="DH109" s="1222"/>
      <c r="DI109" s="1222"/>
      <c r="DJ109" s="1222"/>
      <c r="DK109" s="1222"/>
      <c r="DL109" s="1222"/>
      <c r="DM109" s="1222"/>
      <c r="DN109" s="1222"/>
      <c r="DO109" s="1222"/>
      <c r="DP109" s="1222"/>
      <c r="DQ109" s="1222"/>
      <c r="DR109" s="1222"/>
      <c r="DS109" s="1222"/>
      <c r="DT109" s="1222"/>
      <c r="DU109" s="1222"/>
      <c r="DV109" s="1222"/>
      <c r="DW109" s="1222"/>
      <c r="DX109" s="1222"/>
      <c r="DY109" s="1222"/>
      <c r="DZ109" s="1222"/>
      <c r="EA109" s="1222"/>
      <c r="EB109" s="1222"/>
      <c r="EC109" s="1222"/>
      <c r="ED109" s="1222"/>
      <c r="EE109" s="1222"/>
      <c r="EF109" s="1222"/>
      <c r="EG109" s="1222"/>
      <c r="EH109" s="1222"/>
      <c r="EI109" s="1222"/>
      <c r="EJ109" s="1222"/>
      <c r="EK109" s="1222"/>
      <c r="EL109" s="1222"/>
      <c r="EM109" s="1222"/>
      <c r="EN109" s="1222"/>
      <c r="EO109" s="1222"/>
      <c r="EP109" s="1222"/>
      <c r="EQ109" s="1222"/>
      <c r="ER109" s="1222"/>
      <c r="ES109" s="1222"/>
      <c r="ET109" s="1222"/>
      <c r="EU109" s="1222"/>
      <c r="EV109" s="1222"/>
      <c r="EW109" s="1222"/>
      <c r="EX109" s="1222"/>
      <c r="EY109" s="1222"/>
      <c r="EZ109" s="1222"/>
      <c r="FA109" s="1222"/>
      <c r="FB109" s="1222"/>
      <c r="FC109" s="1222"/>
      <c r="FD109" s="1222"/>
      <c r="FE109" s="1222"/>
      <c r="FF109" s="1222"/>
      <c r="FG109" s="1222"/>
      <c r="FH109" s="1222"/>
      <c r="FI109" s="1222"/>
      <c r="FJ109" s="1222"/>
      <c r="FK109" s="1222"/>
      <c r="FL109" s="1222"/>
      <c r="FM109" s="1222"/>
      <c r="FN109" s="1222"/>
      <c r="FO109" s="1222"/>
      <c r="FP109" s="1222"/>
      <c r="FQ109" s="1222"/>
      <c r="FR109" s="1222"/>
      <c r="FS109" s="1222"/>
      <c r="FT109" s="1222"/>
      <c r="FU109" s="1222"/>
      <c r="FV109" s="1223"/>
      <c r="FW109" s="1217"/>
      <c r="FX109" s="1218"/>
    </row>
    <row s="941" customFormat="1" customHeight="1" ht="24.75">
      <c r="B110" s="939"/>
      <c r="C110" s="940"/>
      <c r="D110" s="940"/>
      <c r="E110" s="1851"/>
      <c r="F110" s="1224">
        <v>1</v>
      </c>
      <c r="G110" s="1225"/>
      <c r="H110" s="1226"/>
      <c r="I110" s="1998"/>
      <c r="J110" s="1227"/>
      <c r="K110" s="1227"/>
      <c r="L110" s="1227"/>
      <c r="M110" s="1227"/>
      <c r="N110" s="1227"/>
      <c r="O110" s="1228"/>
      <c r="P110" s="1228"/>
      <c r="Q110" s="1228"/>
      <c r="R110" s="1228"/>
      <c r="S110" s="1228"/>
      <c r="T110" s="1228"/>
      <c r="U110" s="1228"/>
      <c r="V110" s="1228"/>
      <c r="W110" s="1228"/>
      <c r="X110" s="1228"/>
      <c r="Y110" s="1228"/>
      <c r="Z110" s="1228"/>
      <c r="AA110" s="1228"/>
      <c r="AB110" s="1228"/>
      <c r="AC110" s="1227"/>
      <c r="AD110" s="1227"/>
      <c r="AE110" s="1227"/>
      <c r="AF110" s="1227"/>
      <c r="AG110" s="1227"/>
      <c r="AH110" s="1227"/>
      <c r="AI110" s="1227"/>
      <c r="AJ110" s="1227"/>
      <c r="AK110" s="1227"/>
      <c r="AL110" s="1227"/>
      <c r="AM110" s="1227"/>
      <c r="AN110" s="1227"/>
      <c r="AO110" s="1227"/>
      <c r="AP110" s="1227"/>
      <c r="AQ110" s="1227"/>
      <c r="AR110" s="1227"/>
      <c r="AS110" s="1227"/>
      <c r="AT110" s="1227"/>
      <c r="AU110" s="1227"/>
      <c r="AV110" s="1227"/>
      <c r="AW110" s="1227"/>
      <c r="AX110" s="1227"/>
      <c r="AY110" s="1227"/>
      <c r="AZ110" s="1227"/>
      <c r="BA110" s="1227"/>
      <c r="BB110" s="1227"/>
      <c r="BC110" s="1227"/>
      <c r="BD110" s="1227"/>
      <c r="BE110" s="1227"/>
      <c r="BF110" s="1227"/>
      <c r="BG110" s="1227"/>
      <c r="BH110" s="1227"/>
      <c r="BI110" s="1227"/>
      <c r="BJ110" s="1227"/>
      <c r="BK110" s="1227"/>
      <c r="BL110" s="1227"/>
      <c r="BM110" s="1227"/>
      <c r="BN110" s="1227"/>
      <c r="BO110" s="1227"/>
      <c r="BP110" s="1227"/>
      <c r="BQ110" s="1227"/>
      <c r="BR110" s="1227"/>
      <c r="BS110" s="1227"/>
      <c r="BT110" s="1228"/>
      <c r="BU110" s="1228"/>
      <c r="BV110" s="1228"/>
      <c r="BW110" s="1228"/>
      <c r="BX110" s="1228"/>
      <c r="BY110" s="1228"/>
      <c r="BZ110" s="1228"/>
      <c r="CA110" s="1228"/>
      <c r="CB110" s="1228"/>
      <c r="CC110" s="1228"/>
      <c r="CD110" s="1228"/>
      <c r="CE110" s="1228"/>
      <c r="CF110" s="1228"/>
      <c r="CG110" s="1228"/>
      <c r="CH110" s="1228"/>
      <c r="CI110" s="1228"/>
      <c r="CJ110" s="1228"/>
      <c r="CK110" s="1228"/>
      <c r="CL110" s="1227"/>
      <c r="CM110" s="1227"/>
      <c r="CN110" s="1227"/>
      <c r="CO110" s="1227"/>
      <c r="CP110" s="1227"/>
      <c r="CQ110" s="1227"/>
      <c r="CR110" s="1227"/>
      <c r="CS110" s="1227"/>
      <c r="CT110" s="1227"/>
      <c r="CU110" s="1227"/>
      <c r="CV110" s="1227"/>
      <c r="CW110" s="1227"/>
      <c r="CX110" s="1227"/>
      <c r="CY110" s="1228"/>
      <c r="CZ110" s="1228"/>
      <c r="DA110" s="1228"/>
      <c r="DB110" s="1228"/>
      <c r="DC110" s="1228"/>
      <c r="DD110" s="1228"/>
      <c r="DE110" s="1228"/>
      <c r="DF110" s="1228"/>
      <c r="DG110" s="1228"/>
      <c r="DH110" s="1228"/>
      <c r="DI110" s="1228"/>
      <c r="DJ110" s="1228"/>
      <c r="DK110" s="1227"/>
      <c r="DL110" s="1227"/>
      <c r="DM110" s="1227"/>
      <c r="DN110" s="1227"/>
      <c r="DO110" s="1227"/>
      <c r="DP110" s="1227"/>
      <c r="DQ110" s="1227"/>
      <c r="DR110" s="1227"/>
      <c r="DS110" s="1227"/>
      <c r="DT110" s="1227"/>
      <c r="DU110" s="1227"/>
      <c r="DV110" s="1227"/>
      <c r="DW110" s="1227"/>
      <c r="DX110" s="1227"/>
      <c r="DY110" s="1227"/>
      <c r="DZ110" s="1227"/>
      <c r="EA110" s="1227"/>
      <c r="EB110" s="1227"/>
      <c r="EC110" s="1227"/>
      <c r="ED110" s="1227"/>
      <c r="EE110" s="1227"/>
      <c r="EF110" s="1227"/>
      <c r="EG110" s="1227"/>
      <c r="EH110" s="1227"/>
      <c r="EI110" s="1227"/>
      <c r="EJ110" s="1227"/>
      <c r="EK110" s="1227"/>
      <c r="EL110" s="1227"/>
      <c r="EM110" s="1227"/>
      <c r="EN110" s="1227"/>
      <c r="EO110" s="1227"/>
      <c r="EP110" s="1227"/>
      <c r="EQ110" s="1227"/>
      <c r="ER110" s="1227"/>
      <c r="ES110" s="1227"/>
      <c r="ET110" s="1227"/>
      <c r="EU110" s="1227"/>
      <c r="EV110" s="1227"/>
      <c r="EW110" s="1227"/>
      <c r="EX110" s="1227"/>
      <c r="EY110" s="1227"/>
      <c r="EZ110" s="1227"/>
      <c r="FA110" s="1227"/>
      <c r="FB110" s="1227"/>
      <c r="FC110" s="1227"/>
      <c r="FD110" s="1227"/>
      <c r="FE110" s="1227"/>
      <c r="FF110" s="1227"/>
      <c r="FG110" s="1227"/>
      <c r="FH110" s="1227"/>
      <c r="FI110" s="1227"/>
      <c r="FJ110" s="1227"/>
      <c r="FK110" s="1227"/>
      <c r="FL110" s="1227"/>
      <c r="FM110" s="1227"/>
      <c r="FN110" s="1227"/>
      <c r="FO110" s="1227"/>
      <c r="FP110" s="1227"/>
      <c r="FQ110" s="1227"/>
      <c r="FR110" s="1227"/>
      <c r="FS110" s="1227"/>
      <c r="FT110" s="1227"/>
      <c r="FU110" s="1227"/>
      <c r="FV110" s="1227"/>
      <c r="FW110" s="1227"/>
      <c r="FX110" s="1218"/>
    </row>
    <row s="941" customFormat="1" customHeight="1" ht="12">
      <c r="A111" s="940"/>
      <c r="B111" s="939"/>
      <c r="C111" s="940"/>
      <c r="D111" s="940"/>
      <c r="E111" s="940"/>
      <c r="F111" s="1229"/>
      <c r="G111" s="1816" t="s">
        <v>2077</v>
      </c>
      <c r="H111" s="1230"/>
      <c r="I111" s="1230"/>
      <c r="J111" s="1230"/>
      <c r="K111" s="1230"/>
      <c r="L111" s="1230"/>
      <c r="M111" s="1230"/>
      <c r="N111" s="1230"/>
      <c r="O111" s="1230"/>
      <c r="P111" s="1230"/>
      <c r="Q111" s="1230"/>
      <c r="R111" s="1230"/>
      <c r="S111" s="1230"/>
      <c r="T111" s="1230"/>
      <c r="U111" s="1230"/>
      <c r="V111" s="1230"/>
      <c r="W111" s="1230"/>
      <c r="X111" s="1230"/>
      <c r="Y111" s="1230"/>
      <c r="Z111" s="1230"/>
      <c r="AA111" s="1230"/>
      <c r="AB111" s="1230"/>
      <c r="AC111" s="1230"/>
      <c r="AD111" s="1230"/>
      <c r="AE111" s="1230"/>
      <c r="AF111" s="1230"/>
      <c r="AG111" s="1230"/>
      <c r="AH111" s="1230"/>
      <c r="AI111" s="1230"/>
      <c r="AJ111" s="1230"/>
      <c r="AK111" s="1230"/>
      <c r="AL111" s="1230"/>
      <c r="AM111" s="1230"/>
      <c r="AN111" s="1230"/>
      <c r="AO111" s="1230"/>
      <c r="AP111" s="1230"/>
      <c r="AQ111" s="1230"/>
      <c r="AR111" s="1230"/>
      <c r="AS111" s="1230"/>
      <c r="AT111" s="1230"/>
      <c r="AU111" s="1230"/>
      <c r="AV111" s="1230"/>
      <c r="AW111" s="1230"/>
      <c r="AX111" s="1230"/>
      <c r="AY111" s="1230"/>
      <c r="AZ111" s="1230"/>
      <c r="BA111" s="1230"/>
      <c r="BB111" s="1230"/>
      <c r="BC111" s="1230"/>
      <c r="BD111" s="1230"/>
      <c r="BE111" s="1230"/>
      <c r="BF111" s="1230"/>
      <c r="BG111" s="1230"/>
      <c r="BH111" s="1230"/>
      <c r="BI111" s="1230"/>
      <c r="BJ111" s="1230"/>
      <c r="BK111" s="1230"/>
      <c r="BL111" s="1230"/>
      <c r="BM111" s="1230"/>
      <c r="BN111" s="1230"/>
      <c r="BO111" s="1230"/>
      <c r="BP111" s="1230"/>
      <c r="BQ111" s="1230"/>
      <c r="BR111" s="1230"/>
      <c r="BS111" s="1230"/>
      <c r="BT111" s="1230"/>
      <c r="BU111" s="1230"/>
      <c r="BV111" s="1230"/>
      <c r="BW111" s="1230"/>
      <c r="BX111" s="1230"/>
      <c r="BY111" s="1230"/>
      <c r="BZ111" s="1230"/>
      <c r="CA111" s="1230"/>
      <c r="CB111" s="1230"/>
      <c r="CC111" s="1230"/>
      <c r="CD111" s="1230"/>
      <c r="CE111" s="1230"/>
      <c r="CF111" s="1230"/>
      <c r="CG111" s="1230"/>
      <c r="CH111" s="1230"/>
      <c r="CI111" s="1230"/>
      <c r="CJ111" s="1230"/>
      <c r="CK111" s="1230"/>
      <c r="CL111" s="1230"/>
      <c r="CM111" s="1230"/>
      <c r="CN111" s="1230"/>
      <c r="CO111" s="1230"/>
      <c r="CP111" s="1230"/>
      <c r="CQ111" s="1230"/>
      <c r="CR111" s="1230"/>
      <c r="CS111" s="1230"/>
      <c r="CT111" s="1230"/>
      <c r="CU111" s="1230"/>
      <c r="CV111" s="1230"/>
      <c r="CW111" s="1230"/>
      <c r="CX111" s="1230"/>
      <c r="CY111" s="1230"/>
      <c r="CZ111" s="1230"/>
      <c r="DA111" s="1230"/>
      <c r="DB111" s="1230"/>
      <c r="DC111" s="1230"/>
      <c r="DD111" s="1230"/>
      <c r="DE111" s="1230"/>
      <c r="DF111" s="1230"/>
      <c r="DG111" s="1230"/>
      <c r="DH111" s="1230"/>
      <c r="DI111" s="1230"/>
      <c r="DJ111" s="1230"/>
      <c r="DK111" s="1230"/>
      <c r="DL111" s="1230"/>
      <c r="DM111" s="1230"/>
      <c r="DN111" s="1230"/>
      <c r="DO111" s="1230"/>
      <c r="DP111" s="1230"/>
      <c r="DQ111" s="1230"/>
      <c r="DR111" s="1230"/>
      <c r="DS111" s="1230"/>
      <c r="DT111" s="1230"/>
      <c r="DU111" s="1230"/>
      <c r="DV111" s="1230"/>
      <c r="DW111" s="1230"/>
      <c r="DX111" s="1230"/>
      <c r="DY111" s="1230"/>
      <c r="DZ111" s="1230"/>
      <c r="EA111" s="1230"/>
      <c r="EB111" s="1230"/>
      <c r="EC111" s="1230"/>
      <c r="ED111" s="1230"/>
      <c r="EE111" s="1230"/>
      <c r="EF111" s="1230"/>
      <c r="EG111" s="1230"/>
      <c r="EH111" s="1230"/>
      <c r="EI111" s="1230"/>
      <c r="EJ111" s="1230"/>
      <c r="EK111" s="1230"/>
      <c r="EL111" s="1230"/>
      <c r="EM111" s="1230"/>
      <c r="EN111" s="1230"/>
      <c r="EO111" s="1230"/>
      <c r="EP111" s="1230"/>
      <c r="EQ111" s="1230"/>
      <c r="ER111" s="1230"/>
      <c r="ES111" s="1230"/>
      <c r="ET111" s="1230"/>
      <c r="EU111" s="1230"/>
      <c r="EV111" s="1230"/>
      <c r="EW111" s="1230"/>
      <c r="EX111" s="1230"/>
      <c r="EY111" s="1230"/>
      <c r="EZ111" s="1230"/>
      <c r="FA111" s="1230"/>
      <c r="FB111" s="1230"/>
      <c r="FC111" s="1230"/>
      <c r="FD111" s="1230"/>
      <c r="FE111" s="1230"/>
      <c r="FF111" s="1230"/>
      <c r="FG111" s="1230"/>
      <c r="FH111" s="1230"/>
      <c r="FI111" s="1230"/>
      <c r="FJ111" s="1230"/>
      <c r="FK111" s="1230"/>
      <c r="FL111" s="1230"/>
      <c r="FM111" s="1230"/>
      <c r="FN111" s="1230"/>
      <c r="FO111" s="1230"/>
      <c r="FP111" s="1230"/>
      <c r="FQ111" s="1230"/>
      <c r="FR111" s="1230"/>
      <c r="FS111" s="1230"/>
      <c r="FT111" s="1230"/>
      <c r="FU111" s="1230"/>
      <c r="FV111" s="1230"/>
      <c r="FW111" s="1231"/>
      <c r="FX111" s="1232"/>
      <c r="FY111" s="957"/>
      <c r="FZ111" s="957"/>
      <c r="GA111" s="957"/>
      <c r="GB111" s="957"/>
    </row>
    <row r="113" s="1831" customFormat="1" customHeight="1" ht="11.25">
      <c r="A113" s="1831" t="s">
        <v>2078</v>
      </c>
    </row>
    <row r="115" s="1866" customFormat="1" customHeight="1" ht="15">
      <c r="A115" s="639"/>
      <c r="B115" s="640"/>
      <c r="C115" s="640"/>
      <c r="D115" s="2594" t="s">
        <v>141</v>
      </c>
      <c r="E115" s="2393" t="s">
        <v>178</v>
      </c>
      <c r="F115" s="2394"/>
      <c r="G115" s="2395"/>
      <c r="H115" s="2399" t="str">
        <f>IF(A115="","",INDEX(DIFFERENTIATION_UNMERGE_VD,MATCH(A115,DIFFERENTIATION_ID_DIFF,0)))</f>
        <v/>
      </c>
      <c r="I115" s="2399"/>
      <c r="J115" s="2399"/>
      <c r="K115" s="2399"/>
      <c r="L115" s="2399"/>
      <c r="M115" s="2399"/>
      <c r="N115" s="2399"/>
      <c r="O115" s="2399"/>
      <c r="P115" s="2399"/>
      <c r="Q115" s="2399"/>
      <c r="R115" s="2399"/>
      <c r="S115" s="735"/>
      <c r="T115" s="732"/>
      <c r="U115" s="641"/>
      <c r="V115" s="641"/>
      <c r="W115" s="642"/>
      <c r="X115" s="642"/>
      <c r="Y115" s="642"/>
      <c r="Z115" s="642"/>
      <c r="AA115" s="643"/>
      <c r="AB115" s="644"/>
      <c r="AC115" s="2391"/>
      <c r="AD115" s="645"/>
      <c r="AE115" s="646" t="s">
        <v>28</v>
      </c>
      <c r="AF115" s="646"/>
      <c r="AG115" s="647" t="s">
        <v>762</v>
      </c>
      <c r="AH115" s="648">
        <v>3</v>
      </c>
      <c r="AI115" s="641"/>
      <c r="AJ115" s="641"/>
      <c r="AK115" s="641"/>
      <c r="AL115" s="641"/>
      <c r="AM115" s="641"/>
      <c r="AN115" s="641"/>
      <c r="AO115" s="641"/>
      <c r="AP115" s="641"/>
      <c r="AQ115" s="641"/>
      <c r="AR115" s="641"/>
      <c r="AS115" s="641"/>
      <c r="AT115" s="641"/>
      <c r="AU115" s="641"/>
      <c r="AV115" s="641"/>
      <c r="AW115" s="641"/>
      <c r="AX115" s="641"/>
      <c r="AY115" s="641"/>
      <c r="AZ115" s="641"/>
      <c r="BA115" s="641"/>
      <c r="BB115" s="641"/>
      <c r="BC115" s="641"/>
      <c r="BD115" s="641"/>
      <c r="BE115" s="641"/>
      <c r="BF115" s="641"/>
      <c r="BG115" s="641"/>
      <c r="BH115" s="641"/>
      <c r="BI115" s="641"/>
      <c r="BJ115" s="641"/>
      <c r="BK115" s="641"/>
      <c r="BL115" s="641"/>
      <c r="BM115" s="641"/>
      <c r="BN115" s="641"/>
      <c r="BO115" s="641"/>
      <c r="BP115" s="641"/>
      <c r="BQ115" s="641"/>
      <c r="BR115" s="641"/>
      <c r="BS115" s="641"/>
      <c r="BT115" s="641"/>
      <c r="BU115" s="641"/>
      <c r="BV115" s="642"/>
      <c r="BW115" s="642"/>
      <c r="BX115" s="642"/>
      <c r="BY115" s="642"/>
      <c r="BZ115" s="642"/>
      <c r="CA115" s="642"/>
      <c r="CB115" s="642"/>
      <c r="CC115" s="642"/>
      <c r="CD115" s="642"/>
      <c r="CE115" s="642"/>
    </row>
    <row s="1866" customFormat="1" customHeight="1" ht="15">
      <c r="A116" s="639"/>
      <c r="B116" s="640"/>
      <c r="C116" s="640"/>
      <c r="D116" s="2595"/>
      <c r="E116" s="2393" t="s">
        <v>717</v>
      </c>
      <c r="F116" s="2394"/>
      <c r="G116" s="2395"/>
      <c r="H116" s="2399" t="str">
        <f>IF(A115="","",INDEX(DIFFERENTIATION_UNMERGE_AREA,MATCH(A115,DIFFERENTIATION_ID_DIFF,0)))</f>
        <v/>
      </c>
      <c r="I116" s="2399"/>
      <c r="J116" s="2399"/>
      <c r="K116" s="2399"/>
      <c r="L116" s="2399"/>
      <c r="M116" s="2399"/>
      <c r="N116" s="2399"/>
      <c r="O116" s="2399"/>
      <c r="P116" s="2399"/>
      <c r="Q116" s="2399"/>
      <c r="R116" s="2399"/>
      <c r="S116" s="735"/>
      <c r="T116" s="732"/>
      <c r="U116" s="641"/>
      <c r="V116" s="641"/>
      <c r="W116" s="642"/>
      <c r="X116" s="642"/>
      <c r="Y116" s="642"/>
      <c r="Z116" s="642"/>
      <c r="AA116" s="643"/>
      <c r="AB116" s="644"/>
      <c r="AC116" s="2391"/>
      <c r="AD116" s="645"/>
      <c r="AE116" s="646"/>
      <c r="AF116" s="646"/>
      <c r="AG116" s="647"/>
      <c r="AH116" s="648"/>
      <c r="AI116" s="641"/>
      <c r="AJ116" s="641"/>
      <c r="AK116" s="641"/>
      <c r="AL116" s="641"/>
      <c r="AM116" s="641"/>
      <c r="AN116" s="641"/>
      <c r="AO116" s="641"/>
      <c r="AP116" s="641"/>
      <c r="AQ116" s="641"/>
      <c r="AR116" s="641"/>
      <c r="AS116" s="641"/>
      <c r="AT116" s="641"/>
      <c r="AU116" s="641"/>
      <c r="AV116" s="641"/>
      <c r="AW116" s="641"/>
      <c r="AX116" s="641"/>
      <c r="AY116" s="641"/>
      <c r="AZ116" s="641"/>
      <c r="BA116" s="641"/>
      <c r="BB116" s="641"/>
      <c r="BC116" s="641"/>
      <c r="BD116" s="641"/>
      <c r="BE116" s="641"/>
      <c r="BF116" s="641"/>
      <c r="BG116" s="641"/>
      <c r="BH116" s="641"/>
      <c r="BI116" s="641"/>
      <c r="BJ116" s="641"/>
      <c r="BK116" s="641"/>
      <c r="BL116" s="641"/>
      <c r="BM116" s="641"/>
      <c r="BN116" s="641"/>
      <c r="BO116" s="641"/>
      <c r="BP116" s="641"/>
      <c r="BQ116" s="641"/>
      <c r="BR116" s="641"/>
      <c r="BS116" s="641"/>
      <c r="BT116" s="641"/>
      <c r="BU116" s="641"/>
      <c r="BV116" s="642"/>
      <c r="BW116" s="642"/>
      <c r="BX116" s="642"/>
      <c r="BY116" s="642"/>
      <c r="BZ116" s="642"/>
      <c r="CA116" s="642"/>
      <c r="CB116" s="642"/>
      <c r="CC116" s="642"/>
      <c r="CD116" s="642"/>
      <c r="CE116" s="642"/>
    </row>
    <row s="1866" customFormat="1" customHeight="1" ht="15">
      <c r="A117" s="639"/>
      <c r="B117" s="640"/>
      <c r="C117" s="640"/>
      <c r="D117" s="2595"/>
      <c r="E117" s="2393" t="s">
        <v>718</v>
      </c>
      <c r="F117" s="2394"/>
      <c r="G117" s="2395"/>
      <c r="H117" s="2399" t="str">
        <f>IF(A115="","",INDEX(DIFFERENTIATION_UNMERGE_SYSTEM,MATCH(A115,DIFFERENTIATION_ID_DIFF,0)))</f>
        <v/>
      </c>
      <c r="I117" s="2399"/>
      <c r="J117" s="2399"/>
      <c r="K117" s="2399"/>
      <c r="L117" s="2399"/>
      <c r="M117" s="2399"/>
      <c r="N117" s="2399"/>
      <c r="O117" s="2399"/>
      <c r="P117" s="2399"/>
      <c r="Q117" s="2399"/>
      <c r="R117" s="2399"/>
      <c r="S117" s="735"/>
      <c r="T117" s="732"/>
      <c r="U117" s="641"/>
      <c r="V117" s="641"/>
      <c r="W117" s="642"/>
      <c r="X117" s="642"/>
      <c r="Y117" s="642"/>
      <c r="Z117" s="642"/>
      <c r="AA117" s="643"/>
      <c r="AB117" s="644"/>
      <c r="AC117" s="2391"/>
      <c r="AD117" s="645"/>
      <c r="AE117" s="646"/>
      <c r="AF117" s="646"/>
      <c r="AG117" s="647"/>
      <c r="AH117" s="648"/>
      <c r="AI117" s="641"/>
      <c r="AJ117" s="641"/>
      <c r="AK117" s="641"/>
      <c r="AL117" s="641"/>
      <c r="AM117" s="641"/>
      <c r="AN117" s="641"/>
      <c r="AO117" s="641"/>
      <c r="AP117" s="641"/>
      <c r="AQ117" s="641"/>
      <c r="AR117" s="641"/>
      <c r="AS117" s="641"/>
      <c r="AT117" s="641"/>
      <c r="AU117" s="641"/>
      <c r="AV117" s="641"/>
      <c r="AW117" s="641"/>
      <c r="AX117" s="641"/>
      <c r="AY117" s="641"/>
      <c r="AZ117" s="641"/>
      <c r="BA117" s="641"/>
      <c r="BB117" s="641"/>
      <c r="BC117" s="641"/>
      <c r="BD117" s="641"/>
      <c r="BE117" s="641"/>
      <c r="BF117" s="641"/>
      <c r="BG117" s="641"/>
      <c r="BH117" s="641"/>
      <c r="BI117" s="641"/>
      <c r="BJ117" s="641"/>
      <c r="BK117" s="641"/>
      <c r="BL117" s="641"/>
      <c r="BM117" s="641"/>
      <c r="BN117" s="641"/>
      <c r="BO117" s="641"/>
      <c r="BP117" s="641"/>
      <c r="BQ117" s="641"/>
      <c r="BR117" s="641"/>
      <c r="BS117" s="641"/>
      <c r="BT117" s="641"/>
      <c r="BU117" s="641"/>
      <c r="BV117" s="642"/>
      <c r="BW117" s="642"/>
      <c r="BX117" s="642"/>
      <c r="BY117" s="642"/>
      <c r="BZ117" s="642"/>
      <c r="CA117" s="642"/>
      <c r="CB117" s="642"/>
      <c r="CC117" s="642"/>
      <c r="CD117" s="642"/>
      <c r="CE117" s="642"/>
    </row>
    <row s="1866" customFormat="1" customHeight="1" ht="24.75">
      <c r="A118" s="1822"/>
      <c r="B118" s="1176"/>
      <c r="C118" s="428"/>
      <c r="D118" s="2595"/>
      <c r="E118" s="2392" t="s">
        <v>763</v>
      </c>
      <c r="F118" s="2392"/>
      <c r="G118" s="2392"/>
      <c r="H118" s="2392"/>
      <c r="I118" s="2392"/>
      <c r="J118" s="2392"/>
      <c r="K118" s="2392"/>
      <c r="L118" s="2392"/>
      <c r="M118" s="2392"/>
      <c r="N118" s="2392"/>
      <c r="O118" s="2392"/>
      <c r="P118" s="2392"/>
      <c r="Q118" s="574">
        <f>SUMIF(T119:T120,"i",Q119:Q120)</f>
        <v>0</v>
      </c>
      <c r="R118" s="1033"/>
      <c r="S118" s="1814" t="s">
        <v>764</v>
      </c>
      <c r="T118" s="733" t="s">
        <v>765</v>
      </c>
      <c r="U118" s="2390">
        <v>1</v>
      </c>
      <c r="V118" s="2390" t="s">
        <v>728</v>
      </c>
      <c r="W118" s="1176"/>
      <c r="X118" s="1176"/>
      <c r="Y118" s="1176"/>
      <c r="Z118" s="1176"/>
      <c r="AA118" s="1652"/>
      <c r="AB118" s="1176"/>
      <c r="AC118" s="2391"/>
      <c r="AD118" s="645"/>
      <c r="AE118" s="1176"/>
      <c r="AF118" s="1176"/>
      <c r="AG118" s="1652"/>
      <c r="AH118" s="1652"/>
      <c r="AI118" s="1652"/>
      <c r="AJ118" s="1652"/>
      <c r="AK118" s="1652"/>
      <c r="AL118" s="1652"/>
      <c r="AM118" s="1652"/>
      <c r="AN118" s="1652"/>
      <c r="AO118" s="1652"/>
      <c r="AP118" s="1652"/>
      <c r="AQ118" s="1652"/>
      <c r="AR118" s="1652"/>
      <c r="AS118" s="1652"/>
      <c r="AT118" s="1652"/>
      <c r="AU118" s="1652"/>
      <c r="AV118" s="1652"/>
      <c r="AW118" s="1652"/>
      <c r="AX118" s="1652"/>
      <c r="AY118" s="1652"/>
      <c r="AZ118" s="1652"/>
      <c r="BA118" s="1652"/>
      <c r="BB118" s="1652"/>
      <c r="BC118" s="1652"/>
      <c r="BD118" s="1652"/>
      <c r="BE118" s="1652"/>
      <c r="BF118" s="1652"/>
      <c r="BG118" s="1652"/>
      <c r="BH118" s="1652"/>
      <c r="BI118" s="1652"/>
      <c r="BJ118" s="1652"/>
      <c r="BK118" s="1652"/>
      <c r="BL118" s="1652"/>
      <c r="BM118" s="1652"/>
      <c r="BN118" s="1652"/>
      <c r="BO118" s="1652"/>
      <c r="BP118" s="1652"/>
      <c r="BQ118" s="1652"/>
      <c r="BR118" s="1652"/>
      <c r="BS118" s="1652"/>
      <c r="BT118" s="1652"/>
      <c r="BU118" s="1652"/>
      <c r="BV118" s="1176"/>
      <c r="BW118" s="1176"/>
      <c r="BX118" s="1176"/>
      <c r="BY118" s="1176"/>
      <c r="BZ118" s="1176"/>
      <c r="CA118" s="1176"/>
      <c r="CB118" s="1176"/>
      <c r="CC118" s="1176"/>
      <c r="CD118" s="1176"/>
      <c r="CE118" s="1176"/>
    </row>
    <row s="1866" customFormat="1" customHeight="1" ht="11.25" hidden="1">
      <c r="A119" s="1809"/>
      <c r="B119" s="1652"/>
      <c r="C119" s="1652"/>
      <c r="D119" s="2595"/>
      <c r="E119" s="651"/>
      <c r="F119" s="651">
        <v>0</v>
      </c>
      <c r="G119" s="651"/>
      <c r="H119" s="651"/>
      <c r="I119" s="651"/>
      <c r="J119" s="651"/>
      <c r="K119" s="651"/>
      <c r="L119" s="651"/>
      <c r="M119" s="651"/>
      <c r="N119" s="651"/>
      <c r="O119" s="651"/>
      <c r="P119" s="651"/>
      <c r="Q119" s="651"/>
      <c r="R119" s="651"/>
      <c r="S119" s="652"/>
      <c r="T119" s="734"/>
      <c r="U119" s="2390"/>
      <c r="V119" s="2390"/>
      <c r="W119" s="1652"/>
      <c r="X119" s="1652"/>
      <c r="Y119" s="1652"/>
      <c r="Z119" s="1652"/>
      <c r="AA119" s="1652"/>
      <c r="AB119" s="1176"/>
      <c r="AC119" s="2391"/>
      <c r="AD119" s="645"/>
      <c r="AE119" s="1176"/>
      <c r="AF119" s="1176"/>
      <c r="AG119" s="1652"/>
      <c r="AH119" s="1652"/>
      <c r="AI119" s="1652"/>
      <c r="AJ119" s="1652"/>
      <c r="AK119" s="1652"/>
      <c r="AL119" s="1652"/>
      <c r="AM119" s="1652"/>
      <c r="AN119" s="1652"/>
      <c r="AO119" s="1652"/>
      <c r="AP119" s="1652"/>
      <c r="AQ119" s="1652"/>
      <c r="AR119" s="1652"/>
      <c r="AS119" s="1652"/>
      <c r="AT119" s="1652"/>
      <c r="AU119" s="1652"/>
      <c r="AV119" s="1652"/>
      <c r="AW119" s="1652"/>
      <c r="AX119" s="1652"/>
      <c r="AY119" s="1652"/>
      <c r="AZ119" s="1652"/>
      <c r="BA119" s="1652"/>
      <c r="BB119" s="1652"/>
      <c r="BC119" s="1652"/>
      <c r="BD119" s="1652"/>
      <c r="BE119" s="1652"/>
      <c r="BF119" s="1652"/>
      <c r="BG119" s="1652"/>
      <c r="BH119" s="1652"/>
      <c r="BI119" s="1652"/>
      <c r="BJ119" s="1652"/>
      <c r="BK119" s="1652"/>
      <c r="BL119" s="1652"/>
      <c r="BM119" s="1652"/>
      <c r="BN119" s="1652"/>
      <c r="BO119" s="1652"/>
      <c r="BP119" s="1652"/>
      <c r="BQ119" s="1652"/>
      <c r="BR119" s="1652"/>
      <c r="BS119" s="1652"/>
      <c r="BT119" s="1652"/>
      <c r="BU119" s="1652"/>
      <c r="BV119" s="1652"/>
      <c r="BW119" s="1652"/>
      <c r="BX119" s="1652"/>
      <c r="BY119" s="1652"/>
      <c r="BZ119" s="1652"/>
      <c r="CA119" s="1652"/>
      <c r="CB119" s="1652"/>
      <c r="CC119" s="1652"/>
      <c r="CD119" s="1652"/>
      <c r="CE119" s="1652"/>
    </row>
    <row s="1866" customFormat="1" customHeight="1" ht="11.25">
      <c r="A120" s="1822"/>
      <c r="B120" s="1176"/>
      <c r="C120" s="428"/>
      <c r="D120" s="2595"/>
      <c r="E120" s="665" t="s">
        <v>28</v>
      </c>
      <c r="F120" s="1184" t="s">
        <v>28</v>
      </c>
      <c r="G120" s="1184" t="s">
        <v>2079</v>
      </c>
      <c r="H120" s="667" t="s">
        <v>28</v>
      </c>
      <c r="I120" s="667"/>
      <c r="J120" s="667"/>
      <c r="K120" s="667"/>
      <c r="L120" s="667"/>
      <c r="M120" s="667"/>
      <c r="N120" s="667"/>
      <c r="O120" s="667"/>
      <c r="P120" s="667"/>
      <c r="Q120" s="667"/>
      <c r="R120" s="668"/>
      <c r="S120" s="669"/>
      <c r="T120" s="734"/>
      <c r="U120" s="2390"/>
      <c r="V120" s="2390"/>
      <c r="W120" s="1176"/>
      <c r="X120" s="1176"/>
      <c r="Y120" s="1176"/>
      <c r="Z120" s="1176"/>
      <c r="AA120" s="1652"/>
      <c r="AB120" s="1176"/>
      <c r="AC120" s="2391"/>
      <c r="AD120" s="645"/>
      <c r="AE120" s="1176"/>
      <c r="AF120" s="1176"/>
      <c r="AG120" s="1652"/>
      <c r="AH120" s="1652"/>
      <c r="AI120" s="1652"/>
      <c r="AJ120" s="1652"/>
      <c r="AK120" s="1652"/>
      <c r="AL120" s="1652"/>
      <c r="AM120" s="1652"/>
      <c r="AN120" s="1652"/>
      <c r="AO120" s="1652"/>
      <c r="AP120" s="1652"/>
      <c r="AQ120" s="1652"/>
      <c r="AR120" s="1652"/>
      <c r="AS120" s="1652"/>
      <c r="AT120" s="1652"/>
      <c r="AU120" s="1652"/>
      <c r="AV120" s="1652"/>
      <c r="AW120" s="1652"/>
      <c r="AX120" s="1652"/>
      <c r="AY120" s="1652"/>
      <c r="AZ120" s="1652"/>
      <c r="BA120" s="1652"/>
      <c r="BB120" s="1652"/>
      <c r="BC120" s="1652"/>
      <c r="BD120" s="1652"/>
      <c r="BE120" s="1652"/>
      <c r="BF120" s="1652"/>
      <c r="BG120" s="1652"/>
      <c r="BH120" s="1652"/>
      <c r="BI120" s="1652"/>
      <c r="BJ120" s="1652"/>
      <c r="BK120" s="1652"/>
      <c r="BL120" s="1652"/>
      <c r="BM120" s="1652"/>
      <c r="BN120" s="1652"/>
      <c r="BO120" s="1652"/>
      <c r="BP120" s="1652"/>
      <c r="BQ120" s="1652"/>
      <c r="BR120" s="1652"/>
      <c r="BS120" s="1652"/>
      <c r="BT120" s="1652"/>
      <c r="BU120" s="1652"/>
      <c r="BV120" s="1176"/>
      <c r="BW120" s="1176"/>
      <c r="BX120" s="1176"/>
      <c r="BY120" s="1176"/>
      <c r="BZ120" s="1176"/>
      <c r="CA120" s="1176"/>
      <c r="CB120" s="1176"/>
      <c r="CC120" s="1176"/>
      <c r="CD120" s="1176"/>
      <c r="CE120" s="1176"/>
    </row>
    <row s="1866" customFormat="1" customHeight="1" ht="24.75">
      <c r="A121" s="1822"/>
      <c r="B121" s="1176"/>
      <c r="C121" s="428"/>
      <c r="D121" s="2595"/>
      <c r="E121" s="2392" t="s">
        <v>766</v>
      </c>
      <c r="F121" s="2392"/>
      <c r="G121" s="2392"/>
      <c r="H121" s="2392"/>
      <c r="I121" s="2392"/>
      <c r="J121" s="2392"/>
      <c r="K121" s="2392"/>
      <c r="L121" s="2392"/>
      <c r="M121" s="2392"/>
      <c r="N121" s="2392"/>
      <c r="O121" s="2392"/>
      <c r="P121" s="2392"/>
      <c r="Q121" s="574">
        <f>SUMIF(T122:T123,"i",Q122:Q123)</f>
        <v>0</v>
      </c>
      <c r="R121" s="1033"/>
      <c r="S121" s="1814" t="s">
        <v>767</v>
      </c>
      <c r="T121" s="733" t="s">
        <v>765</v>
      </c>
      <c r="U121" s="2390">
        <v>1</v>
      </c>
      <c r="V121" s="2390" t="s">
        <v>728</v>
      </c>
      <c r="W121" s="1176"/>
      <c r="X121" s="1176"/>
      <c r="Y121" s="1176"/>
      <c r="Z121" s="1176"/>
      <c r="AA121" s="1652"/>
      <c r="AB121" s="1176"/>
      <c r="AC121" s="1812"/>
      <c r="AD121" s="645"/>
      <c r="AE121" s="1176"/>
      <c r="AF121" s="1176"/>
      <c r="AG121" s="1652"/>
      <c r="AH121" s="1652"/>
      <c r="AI121" s="1652"/>
      <c r="AJ121" s="1652"/>
      <c r="AK121" s="1652"/>
      <c r="AL121" s="1652"/>
      <c r="AM121" s="1652"/>
      <c r="AN121" s="1652"/>
      <c r="AO121" s="1652"/>
      <c r="AP121" s="1652"/>
      <c r="AQ121" s="1652"/>
      <c r="AR121" s="1652"/>
      <c r="AS121" s="1652"/>
      <c r="AT121" s="1652"/>
      <c r="AU121" s="1652"/>
      <c r="AV121" s="1652"/>
      <c r="AW121" s="1652"/>
      <c r="AX121" s="1652"/>
      <c r="AY121" s="1652"/>
      <c r="AZ121" s="1652"/>
      <c r="BA121" s="1652"/>
      <c r="BB121" s="1652"/>
      <c r="BC121" s="1652"/>
      <c r="BD121" s="1652"/>
      <c r="BE121" s="1652"/>
      <c r="BF121" s="1652"/>
      <c r="BG121" s="1652"/>
      <c r="BH121" s="1652"/>
      <c r="BI121" s="1652"/>
      <c r="BJ121" s="1652"/>
      <c r="BK121" s="1652"/>
      <c r="BL121" s="1652"/>
      <c r="BM121" s="1652"/>
      <c r="BN121" s="1652"/>
      <c r="BO121" s="1652"/>
      <c r="BP121" s="1652"/>
      <c r="BQ121" s="1652"/>
      <c r="BR121" s="1652"/>
      <c r="BS121" s="1652"/>
      <c r="BT121" s="1652"/>
      <c r="BU121" s="1652"/>
      <c r="BV121" s="1176"/>
      <c r="BW121" s="1176"/>
      <c r="BX121" s="1176"/>
      <c r="BY121" s="1176"/>
      <c r="BZ121" s="1176"/>
      <c r="CA121" s="1176"/>
      <c r="CB121" s="1176"/>
      <c r="CC121" s="1176"/>
      <c r="CD121" s="1176"/>
      <c r="CE121" s="1176"/>
    </row>
    <row s="1866" customFormat="1" customHeight="1" ht="11.25" hidden="1">
      <c r="A122" s="1809"/>
      <c r="B122" s="1652"/>
      <c r="C122" s="1652"/>
      <c r="D122" s="2595"/>
      <c r="E122" s="651"/>
      <c r="F122" s="651">
        <v>0</v>
      </c>
      <c r="G122" s="651"/>
      <c r="H122" s="651"/>
      <c r="I122" s="651"/>
      <c r="J122" s="651"/>
      <c r="K122" s="651"/>
      <c r="L122" s="651"/>
      <c r="M122" s="651"/>
      <c r="N122" s="651"/>
      <c r="O122" s="651"/>
      <c r="P122" s="651"/>
      <c r="Q122" s="651"/>
      <c r="R122" s="651"/>
      <c r="S122" s="652"/>
      <c r="T122" s="734"/>
      <c r="U122" s="2390"/>
      <c r="V122" s="2390"/>
      <c r="W122" s="1652"/>
      <c r="X122" s="1652"/>
      <c r="Y122" s="1652"/>
      <c r="Z122" s="1652"/>
      <c r="AA122" s="1652"/>
      <c r="AB122" s="1176"/>
      <c r="AC122" s="1812"/>
      <c r="AD122" s="645"/>
      <c r="AE122" s="1176"/>
      <c r="AF122" s="1176"/>
      <c r="AG122" s="1652"/>
      <c r="AH122" s="1652"/>
      <c r="AI122" s="1652"/>
      <c r="AJ122" s="1652"/>
      <c r="AK122" s="1652"/>
      <c r="AL122" s="1652"/>
      <c r="AM122" s="1652"/>
      <c r="AN122" s="1652"/>
      <c r="AO122" s="1652"/>
      <c r="AP122" s="1652"/>
      <c r="AQ122" s="1652"/>
      <c r="AR122" s="1652"/>
      <c r="AS122" s="1652"/>
      <c r="AT122" s="1652"/>
      <c r="AU122" s="1652"/>
      <c r="AV122" s="1652"/>
      <c r="AW122" s="1652"/>
      <c r="AX122" s="1652"/>
      <c r="AY122" s="1652"/>
      <c r="AZ122" s="1652"/>
      <c r="BA122" s="1652"/>
      <c r="BB122" s="1652"/>
      <c r="BC122" s="1652"/>
      <c r="BD122" s="1652"/>
      <c r="BE122" s="1652"/>
      <c r="BF122" s="1652"/>
      <c r="BG122" s="1652"/>
      <c r="BH122" s="1652"/>
      <c r="BI122" s="1652"/>
      <c r="BJ122" s="1652"/>
      <c r="BK122" s="1652"/>
      <c r="BL122" s="1652"/>
      <c r="BM122" s="1652"/>
      <c r="BN122" s="1652"/>
      <c r="BO122" s="1652"/>
      <c r="BP122" s="1652"/>
      <c r="BQ122" s="1652"/>
      <c r="BR122" s="1652"/>
      <c r="BS122" s="1652"/>
      <c r="BT122" s="1652"/>
      <c r="BU122" s="1652"/>
      <c r="BV122" s="1652"/>
      <c r="BW122" s="1652"/>
      <c r="BX122" s="1652"/>
      <c r="BY122" s="1652"/>
      <c r="BZ122" s="1652"/>
      <c r="CA122" s="1652"/>
      <c r="CB122" s="1652"/>
      <c r="CC122" s="1652"/>
      <c r="CD122" s="1652"/>
      <c r="CE122" s="1652"/>
    </row>
    <row s="1866" customFormat="1" customHeight="1" ht="11.25">
      <c r="A123" s="1822"/>
      <c r="B123" s="1176"/>
      <c r="C123" s="428"/>
      <c r="D123" s="2596"/>
      <c r="E123" s="665" t="s">
        <v>28</v>
      </c>
      <c r="F123" s="1184" t="s">
        <v>28</v>
      </c>
      <c r="G123" s="1184" t="s">
        <v>2079</v>
      </c>
      <c r="H123" s="667" t="s">
        <v>28</v>
      </c>
      <c r="I123" s="667"/>
      <c r="J123" s="667"/>
      <c r="K123" s="667"/>
      <c r="L123" s="667"/>
      <c r="M123" s="667"/>
      <c r="N123" s="667"/>
      <c r="O123" s="667"/>
      <c r="P123" s="667"/>
      <c r="Q123" s="667"/>
      <c r="R123" s="668"/>
      <c r="S123" s="669"/>
      <c r="T123" s="734"/>
      <c r="U123" s="2390"/>
      <c r="V123" s="2390"/>
      <c r="W123" s="1176"/>
      <c r="X123" s="1176"/>
      <c r="Y123" s="1176"/>
      <c r="Z123" s="1176"/>
      <c r="AA123" s="1652"/>
      <c r="AB123" s="1176"/>
      <c r="AC123" s="1812"/>
      <c r="AD123" s="645"/>
      <c r="AE123" s="1176"/>
      <c r="AF123" s="1176"/>
      <c r="AG123" s="1652"/>
      <c r="AH123" s="1652"/>
      <c r="AI123" s="1652"/>
      <c r="AJ123" s="1652"/>
      <c r="AK123" s="1652"/>
      <c r="AL123" s="1652"/>
      <c r="AM123" s="1652"/>
      <c r="AN123" s="1652"/>
      <c r="AO123" s="1652"/>
      <c r="AP123" s="1652"/>
      <c r="AQ123" s="1652"/>
      <c r="AR123" s="1652"/>
      <c r="AS123" s="1652"/>
      <c r="AT123" s="1652"/>
      <c r="AU123" s="1652"/>
      <c r="AV123" s="1652"/>
      <c r="AW123" s="1652"/>
      <c r="AX123" s="1652"/>
      <c r="AY123" s="1652"/>
      <c r="AZ123" s="1652"/>
      <c r="BA123" s="1652"/>
      <c r="BB123" s="1652"/>
      <c r="BC123" s="1652"/>
      <c r="BD123" s="1652"/>
      <c r="BE123" s="1652"/>
      <c r="BF123" s="1652"/>
      <c r="BG123" s="1652"/>
      <c r="BH123" s="1652"/>
      <c r="BI123" s="1652"/>
      <c r="BJ123" s="1652"/>
      <c r="BK123" s="1652"/>
      <c r="BL123" s="1652"/>
      <c r="BM123" s="1652"/>
      <c r="BN123" s="1652"/>
      <c r="BO123" s="1652"/>
      <c r="BP123" s="1652"/>
      <c r="BQ123" s="1652"/>
      <c r="BR123" s="1652"/>
      <c r="BS123" s="1652"/>
      <c r="BT123" s="1652"/>
      <c r="BU123" s="1652"/>
      <c r="BV123" s="1176"/>
      <c r="BW123" s="1176"/>
      <c r="BX123" s="1176"/>
      <c r="BY123" s="1176"/>
      <c r="BZ123" s="1176"/>
      <c r="CA123" s="1176"/>
      <c r="CB123" s="1176"/>
      <c r="CC123" s="1176"/>
      <c r="CD123" s="1176"/>
      <c r="CE123" s="1176"/>
    </row>
    <row r="125" s="1831" customFormat="1" customHeight="1" ht="11.25">
      <c r="A125" s="1831" t="s">
        <v>2080</v>
      </c>
    </row>
    <row r="127" s="1866" customFormat="1" customHeight="1" ht="15">
      <c r="A127" s="639"/>
      <c r="B127" s="640"/>
      <c r="C127" s="640"/>
      <c r="D127" s="2594" t="s">
        <v>141</v>
      </c>
      <c r="E127" s="2393" t="s">
        <v>178</v>
      </c>
      <c r="F127" s="2394"/>
      <c r="G127" s="2395"/>
      <c r="H127" s="2399" t="str">
        <f>IF(A127="","",INDEX(DIFFERENTIATION_UNMERGE_VD,MATCH(A127,DIFFERENTIATION_ID_DIFF,0)))</f>
        <v/>
      </c>
      <c r="I127" s="2399"/>
      <c r="J127" s="2399"/>
      <c r="K127" s="2399"/>
      <c r="L127" s="2399"/>
      <c r="M127" s="2399"/>
      <c r="N127" s="2399"/>
      <c r="O127" s="2399"/>
      <c r="P127" s="2399"/>
      <c r="Q127" s="2399"/>
      <c r="R127" s="2399"/>
      <c r="S127" s="735"/>
      <c r="T127" s="732"/>
      <c r="U127" s="641"/>
      <c r="V127" s="641"/>
      <c r="W127" s="642"/>
      <c r="X127" s="642"/>
      <c r="Y127" s="642"/>
      <c r="Z127" s="642"/>
      <c r="AA127" s="643"/>
      <c r="AB127" s="644"/>
      <c r="AC127" s="2391"/>
      <c r="AD127" s="645"/>
      <c r="AE127" s="646" t="s">
        <v>28</v>
      </c>
      <c r="AF127" s="646"/>
      <c r="AG127" s="647" t="s">
        <v>762</v>
      </c>
      <c r="AH127" s="648">
        <v>3</v>
      </c>
      <c r="AI127" s="641"/>
      <c r="AJ127" s="641"/>
      <c r="AK127" s="641"/>
      <c r="AL127" s="641"/>
      <c r="AM127" s="641"/>
      <c r="AN127" s="641"/>
      <c r="AO127" s="641"/>
      <c r="AP127" s="641"/>
      <c r="AQ127" s="641"/>
      <c r="AR127" s="641"/>
      <c r="AS127" s="641"/>
      <c r="AT127" s="641"/>
      <c r="AU127" s="641"/>
      <c r="AV127" s="641"/>
      <c r="AW127" s="641"/>
      <c r="AX127" s="641"/>
      <c r="AY127" s="641"/>
      <c r="AZ127" s="641"/>
      <c r="BA127" s="641"/>
      <c r="BB127" s="641"/>
      <c r="BC127" s="641"/>
      <c r="BD127" s="641"/>
      <c r="BE127" s="641"/>
      <c r="BF127" s="641"/>
      <c r="BG127" s="641"/>
      <c r="BH127" s="641"/>
      <c r="BI127" s="641"/>
      <c r="BJ127" s="641"/>
      <c r="BK127" s="641"/>
      <c r="BL127" s="641"/>
      <c r="BM127" s="641"/>
      <c r="BN127" s="641"/>
      <c r="BO127" s="641"/>
      <c r="BP127" s="641"/>
      <c r="BQ127" s="641"/>
      <c r="BR127" s="641"/>
      <c r="BS127" s="641"/>
      <c r="BT127" s="641"/>
      <c r="BU127" s="641"/>
      <c r="BV127" s="642"/>
      <c r="BW127" s="642"/>
      <c r="BX127" s="642"/>
      <c r="BY127" s="642"/>
      <c r="BZ127" s="642"/>
      <c r="CA127" s="642"/>
      <c r="CB127" s="642"/>
      <c r="CC127" s="642"/>
      <c r="CD127" s="642"/>
      <c r="CE127" s="642"/>
    </row>
    <row s="1866" customFormat="1" customHeight="1" ht="15">
      <c r="A128" s="639"/>
      <c r="B128" s="640"/>
      <c r="C128" s="640"/>
      <c r="D128" s="2595"/>
      <c r="E128" s="2393" t="s">
        <v>717</v>
      </c>
      <c r="F128" s="2394"/>
      <c r="G128" s="2395"/>
      <c r="H128" s="2399" t="str">
        <f>IF(A127="","",INDEX(DIFFERENTIATION_UNMERGE_AREA,MATCH(A127,DIFFERENTIATION_ID_DIFF,0)))</f>
        <v/>
      </c>
      <c r="I128" s="2399"/>
      <c r="J128" s="2399"/>
      <c r="K128" s="2399"/>
      <c r="L128" s="2399"/>
      <c r="M128" s="2399"/>
      <c r="N128" s="2399"/>
      <c r="O128" s="2399"/>
      <c r="P128" s="2399"/>
      <c r="Q128" s="2399"/>
      <c r="R128" s="2399"/>
      <c r="S128" s="735"/>
      <c r="T128" s="732"/>
      <c r="U128" s="641"/>
      <c r="V128" s="641"/>
      <c r="W128" s="642"/>
      <c r="X128" s="642"/>
      <c r="Y128" s="642"/>
      <c r="Z128" s="642"/>
      <c r="AA128" s="643"/>
      <c r="AB128" s="644"/>
      <c r="AC128" s="2391"/>
      <c r="AD128" s="645"/>
      <c r="AE128" s="646"/>
      <c r="AF128" s="646"/>
      <c r="AG128" s="647"/>
      <c r="AH128" s="648"/>
      <c r="AI128" s="641"/>
      <c r="AJ128" s="641"/>
      <c r="AK128" s="641"/>
      <c r="AL128" s="641"/>
      <c r="AM128" s="641"/>
      <c r="AN128" s="641"/>
      <c r="AO128" s="641"/>
      <c r="AP128" s="641"/>
      <c r="AQ128" s="641"/>
      <c r="AR128" s="641"/>
      <c r="AS128" s="641"/>
      <c r="AT128" s="641"/>
      <c r="AU128" s="641"/>
      <c r="AV128" s="641"/>
      <c r="AW128" s="641"/>
      <c r="AX128" s="641"/>
      <c r="AY128" s="641"/>
      <c r="AZ128" s="641"/>
      <c r="BA128" s="641"/>
      <c r="BB128" s="641"/>
      <c r="BC128" s="641"/>
      <c r="BD128" s="641"/>
      <c r="BE128" s="641"/>
      <c r="BF128" s="641"/>
      <c r="BG128" s="641"/>
      <c r="BH128" s="641"/>
      <c r="BI128" s="641"/>
      <c r="BJ128" s="641"/>
      <c r="BK128" s="641"/>
      <c r="BL128" s="641"/>
      <c r="BM128" s="641"/>
      <c r="BN128" s="641"/>
      <c r="BO128" s="641"/>
      <c r="BP128" s="641"/>
      <c r="BQ128" s="641"/>
      <c r="BR128" s="641"/>
      <c r="BS128" s="641"/>
      <c r="BT128" s="641"/>
      <c r="BU128" s="641"/>
      <c r="BV128" s="642"/>
      <c r="BW128" s="642"/>
      <c r="BX128" s="642"/>
      <c r="BY128" s="642"/>
      <c r="BZ128" s="642"/>
      <c r="CA128" s="642"/>
      <c r="CB128" s="642"/>
      <c r="CC128" s="642"/>
      <c r="CD128" s="642"/>
      <c r="CE128" s="642"/>
    </row>
    <row s="1866" customFormat="1" customHeight="1" ht="15">
      <c r="A129" s="639"/>
      <c r="B129" s="640"/>
      <c r="C129" s="640"/>
      <c r="D129" s="2595"/>
      <c r="E129" s="2393" t="s">
        <v>718</v>
      </c>
      <c r="F129" s="2394"/>
      <c r="G129" s="2395"/>
      <c r="H129" s="2399" t="str">
        <f>IF(A127="","",INDEX(DIFFERENTIATION_UNMERGE_SYSTEM,MATCH(A127,DIFFERENTIATION_ID_DIFF,0)))</f>
        <v/>
      </c>
      <c r="I129" s="2399"/>
      <c r="J129" s="2399"/>
      <c r="K129" s="2399"/>
      <c r="L129" s="2399"/>
      <c r="M129" s="2399"/>
      <c r="N129" s="2399"/>
      <c r="O129" s="2399"/>
      <c r="P129" s="2399"/>
      <c r="Q129" s="2399"/>
      <c r="R129" s="2399"/>
      <c r="S129" s="735"/>
      <c r="T129" s="732"/>
      <c r="U129" s="641"/>
      <c r="V129" s="641"/>
      <c r="W129" s="642"/>
      <c r="X129" s="642"/>
      <c r="Y129" s="642"/>
      <c r="Z129" s="642"/>
      <c r="AA129" s="643"/>
      <c r="AB129" s="644"/>
      <c r="AC129" s="2391"/>
      <c r="AD129" s="645"/>
      <c r="AE129" s="646"/>
      <c r="AF129" s="646"/>
      <c r="AG129" s="647"/>
      <c r="AH129" s="648"/>
      <c r="AI129" s="641"/>
      <c r="AJ129" s="641"/>
      <c r="AK129" s="641"/>
      <c r="AL129" s="641"/>
      <c r="AM129" s="641"/>
      <c r="AN129" s="641"/>
      <c r="AO129" s="641"/>
      <c r="AP129" s="641"/>
      <c r="AQ129" s="641"/>
      <c r="AR129" s="641"/>
      <c r="AS129" s="641"/>
      <c r="AT129" s="641"/>
      <c r="AU129" s="641"/>
      <c r="AV129" s="641"/>
      <c r="AW129" s="641"/>
      <c r="AX129" s="641"/>
      <c r="AY129" s="641"/>
      <c r="AZ129" s="641"/>
      <c r="BA129" s="641"/>
      <c r="BB129" s="641"/>
      <c r="BC129" s="641"/>
      <c r="BD129" s="641"/>
      <c r="BE129" s="641"/>
      <c r="BF129" s="641"/>
      <c r="BG129" s="641"/>
      <c r="BH129" s="641"/>
      <c r="BI129" s="641"/>
      <c r="BJ129" s="641"/>
      <c r="BK129" s="641"/>
      <c r="BL129" s="641"/>
      <c r="BM129" s="641"/>
      <c r="BN129" s="641"/>
      <c r="BO129" s="641"/>
      <c r="BP129" s="641"/>
      <c r="BQ129" s="641"/>
      <c r="BR129" s="641"/>
      <c r="BS129" s="641"/>
      <c r="BT129" s="641"/>
      <c r="BU129" s="641"/>
      <c r="BV129" s="642"/>
      <c r="BW129" s="642"/>
      <c r="BX129" s="642"/>
      <c r="BY129" s="642"/>
      <c r="BZ129" s="642"/>
      <c r="CA129" s="642"/>
      <c r="CB129" s="642"/>
      <c r="CC129" s="642"/>
      <c r="CD129" s="642"/>
      <c r="CE129" s="642"/>
    </row>
    <row s="1866" customFormat="1" customHeight="1" ht="24.75">
      <c r="A130" s="1822"/>
      <c r="B130" s="1176"/>
      <c r="C130" s="428"/>
      <c r="D130" s="2595"/>
      <c r="E130" s="2392" t="s">
        <v>763</v>
      </c>
      <c r="F130" s="2392"/>
      <c r="G130" s="2392"/>
      <c r="H130" s="2392"/>
      <c r="I130" s="2392"/>
      <c r="J130" s="2392"/>
      <c r="K130" s="2392"/>
      <c r="L130" s="2392"/>
      <c r="M130" s="2392"/>
      <c r="N130" s="2392"/>
      <c r="O130" s="2392"/>
      <c r="P130" s="2392"/>
      <c r="Q130" s="574">
        <f>SUMIF(T131:T132,"i",Q131:Q132)</f>
        <v>0</v>
      </c>
      <c r="R130" s="1033"/>
      <c r="S130" s="1814" t="s">
        <v>764</v>
      </c>
      <c r="T130" s="733" t="s">
        <v>765</v>
      </c>
      <c r="U130" s="2390">
        <v>1</v>
      </c>
      <c r="V130" s="2390" t="s">
        <v>728</v>
      </c>
      <c r="W130" s="1176"/>
      <c r="X130" s="1176"/>
      <c r="Y130" s="1176"/>
      <c r="Z130" s="1176"/>
      <c r="AA130" s="1652"/>
      <c r="AB130" s="1176"/>
      <c r="AC130" s="2391"/>
      <c r="AD130" s="645"/>
      <c r="AE130" s="1176"/>
      <c r="AF130" s="1176"/>
      <c r="AG130" s="1652"/>
      <c r="AH130" s="1652"/>
      <c r="AI130" s="1652"/>
      <c r="AJ130" s="1652"/>
      <c r="AK130" s="1652"/>
      <c r="AL130" s="1652"/>
      <c r="AM130" s="1652"/>
      <c r="AN130" s="1652"/>
      <c r="AO130" s="1652"/>
      <c r="AP130" s="1652"/>
      <c r="AQ130" s="1652"/>
      <c r="AR130" s="1652"/>
      <c r="AS130" s="1652"/>
      <c r="AT130" s="1652"/>
      <c r="AU130" s="1652"/>
      <c r="AV130" s="1652"/>
      <c r="AW130" s="1652"/>
      <c r="AX130" s="1652"/>
      <c r="AY130" s="1652"/>
      <c r="AZ130" s="1652"/>
      <c r="BA130" s="1652"/>
      <c r="BB130" s="1652"/>
      <c r="BC130" s="1652"/>
      <c r="BD130" s="1652"/>
      <c r="BE130" s="1652"/>
      <c r="BF130" s="1652"/>
      <c r="BG130" s="1652"/>
      <c r="BH130" s="1652"/>
      <c r="BI130" s="1652"/>
      <c r="BJ130" s="1652"/>
      <c r="BK130" s="1652"/>
      <c r="BL130" s="1652"/>
      <c r="BM130" s="1652"/>
      <c r="BN130" s="1652"/>
      <c r="BO130" s="1652"/>
      <c r="BP130" s="1652"/>
      <c r="BQ130" s="1652"/>
      <c r="BR130" s="1652"/>
      <c r="BS130" s="1652"/>
      <c r="BT130" s="1652"/>
      <c r="BU130" s="1652"/>
      <c r="BV130" s="1176"/>
      <c r="BW130" s="1176"/>
      <c r="BX130" s="1176"/>
      <c r="BY130" s="1176"/>
      <c r="BZ130" s="1176"/>
      <c r="CA130" s="1176"/>
      <c r="CB130" s="1176"/>
      <c r="CC130" s="1176"/>
      <c r="CD130" s="1176"/>
      <c r="CE130" s="1176"/>
    </row>
    <row s="1866" customFormat="1" customHeight="1" ht="11.25" hidden="1">
      <c r="A131" s="1809"/>
      <c r="B131" s="1652"/>
      <c r="C131" s="1652"/>
      <c r="D131" s="2595"/>
      <c r="E131" s="651"/>
      <c r="F131" s="651">
        <v>0</v>
      </c>
      <c r="G131" s="651"/>
      <c r="H131" s="651"/>
      <c r="I131" s="651"/>
      <c r="J131" s="651"/>
      <c r="K131" s="651"/>
      <c r="L131" s="651"/>
      <c r="M131" s="651"/>
      <c r="N131" s="651"/>
      <c r="O131" s="651"/>
      <c r="P131" s="651"/>
      <c r="Q131" s="651"/>
      <c r="R131" s="651"/>
      <c r="S131" s="652"/>
      <c r="T131" s="734"/>
      <c r="U131" s="2390"/>
      <c r="V131" s="2390"/>
      <c r="W131" s="1652"/>
      <c r="X131" s="1652"/>
      <c r="Y131" s="1652"/>
      <c r="Z131" s="1652"/>
      <c r="AA131" s="1652"/>
      <c r="AB131" s="1176"/>
      <c r="AC131" s="2391"/>
      <c r="AD131" s="645"/>
      <c r="AE131" s="1176"/>
      <c r="AF131" s="1176"/>
      <c r="AG131" s="1652"/>
      <c r="AH131" s="1652"/>
      <c r="AI131" s="1652"/>
      <c r="AJ131" s="1652"/>
      <c r="AK131" s="1652"/>
      <c r="AL131" s="1652"/>
      <c r="AM131" s="1652"/>
      <c r="AN131" s="1652"/>
      <c r="AO131" s="1652"/>
      <c r="AP131" s="1652"/>
      <c r="AQ131" s="1652"/>
      <c r="AR131" s="1652"/>
      <c r="AS131" s="1652"/>
      <c r="AT131" s="1652"/>
      <c r="AU131" s="1652"/>
      <c r="AV131" s="1652"/>
      <c r="AW131" s="1652"/>
      <c r="AX131" s="1652"/>
      <c r="AY131" s="1652"/>
      <c r="AZ131" s="1652"/>
      <c r="BA131" s="1652"/>
      <c r="BB131" s="1652"/>
      <c r="BC131" s="1652"/>
      <c r="BD131" s="1652"/>
      <c r="BE131" s="1652"/>
      <c r="BF131" s="1652"/>
      <c r="BG131" s="1652"/>
      <c r="BH131" s="1652"/>
      <c r="BI131" s="1652"/>
      <c r="BJ131" s="1652"/>
      <c r="BK131" s="1652"/>
      <c r="BL131" s="1652"/>
      <c r="BM131" s="1652"/>
      <c r="BN131" s="1652"/>
      <c r="BO131" s="1652"/>
      <c r="BP131" s="1652"/>
      <c r="BQ131" s="1652"/>
      <c r="BR131" s="1652"/>
      <c r="BS131" s="1652"/>
      <c r="BT131" s="1652"/>
      <c r="BU131" s="1652"/>
      <c r="BV131" s="1652"/>
      <c r="BW131" s="1652"/>
      <c r="BX131" s="1652"/>
      <c r="BY131" s="1652"/>
      <c r="BZ131" s="1652"/>
      <c r="CA131" s="1652"/>
      <c r="CB131" s="1652"/>
      <c r="CC131" s="1652"/>
      <c r="CD131" s="1652"/>
      <c r="CE131" s="1652"/>
    </row>
    <row s="1866" customFormat="1" customHeight="1" ht="11.25">
      <c r="A132" s="1822"/>
      <c r="B132" s="1176"/>
      <c r="C132" s="428"/>
      <c r="D132" s="2595"/>
      <c r="E132" s="665" t="s">
        <v>28</v>
      </c>
      <c r="F132" s="1184" t="s">
        <v>28</v>
      </c>
      <c r="G132" s="1184" t="s">
        <v>2079</v>
      </c>
      <c r="H132" s="667" t="s">
        <v>28</v>
      </c>
      <c r="I132" s="667"/>
      <c r="J132" s="667"/>
      <c r="K132" s="667"/>
      <c r="L132" s="667"/>
      <c r="M132" s="667"/>
      <c r="N132" s="667"/>
      <c r="O132" s="667"/>
      <c r="P132" s="667"/>
      <c r="Q132" s="667"/>
      <c r="R132" s="668"/>
      <c r="S132" s="669"/>
      <c r="T132" s="734"/>
      <c r="U132" s="2390"/>
      <c r="V132" s="2390"/>
      <c r="W132" s="1176"/>
      <c r="X132" s="1176"/>
      <c r="Y132" s="1176"/>
      <c r="Z132" s="1176"/>
      <c r="AA132" s="1652"/>
      <c r="AB132" s="1176"/>
      <c r="AC132" s="2391"/>
      <c r="AD132" s="645"/>
      <c r="AE132" s="1176"/>
      <c r="AF132" s="1176"/>
      <c r="AG132" s="1652"/>
      <c r="AH132" s="1652"/>
      <c r="AI132" s="1652"/>
      <c r="AJ132" s="1652"/>
      <c r="AK132" s="1652"/>
      <c r="AL132" s="1652"/>
      <c r="AM132" s="1652"/>
      <c r="AN132" s="1652"/>
      <c r="AO132" s="1652"/>
      <c r="AP132" s="1652"/>
      <c r="AQ132" s="1652"/>
      <c r="AR132" s="1652"/>
      <c r="AS132" s="1652"/>
      <c r="AT132" s="1652"/>
      <c r="AU132" s="1652"/>
      <c r="AV132" s="1652"/>
      <c r="AW132" s="1652"/>
      <c r="AX132" s="1652"/>
      <c r="AY132" s="1652"/>
      <c r="AZ132" s="1652"/>
      <c r="BA132" s="1652"/>
      <c r="BB132" s="1652"/>
      <c r="BC132" s="1652"/>
      <c r="BD132" s="1652"/>
      <c r="BE132" s="1652"/>
      <c r="BF132" s="1652"/>
      <c r="BG132" s="1652"/>
      <c r="BH132" s="1652"/>
      <c r="BI132" s="1652"/>
      <c r="BJ132" s="1652"/>
      <c r="BK132" s="1652"/>
      <c r="BL132" s="1652"/>
      <c r="BM132" s="1652"/>
      <c r="BN132" s="1652"/>
      <c r="BO132" s="1652"/>
      <c r="BP132" s="1652"/>
      <c r="BQ132" s="1652"/>
      <c r="BR132" s="1652"/>
      <c r="BS132" s="1652"/>
      <c r="BT132" s="1652"/>
      <c r="BU132" s="1652"/>
      <c r="BV132" s="1176"/>
      <c r="BW132" s="1176"/>
      <c r="BX132" s="1176"/>
      <c r="BY132" s="1176"/>
      <c r="BZ132" s="1176"/>
      <c r="CA132" s="1176"/>
      <c r="CB132" s="1176"/>
      <c r="CC132" s="1176"/>
      <c r="CD132" s="1176"/>
      <c r="CE132" s="1176"/>
    </row>
    <row s="1332" customFormat="1" customHeight="1" ht="5.25" hidden="1">
      <c r="A133" s="1809"/>
      <c r="B133" s="1652"/>
      <c r="C133" s="1652"/>
      <c r="D133" s="2595"/>
      <c r="E133" s="1055"/>
      <c r="F133" s="1055"/>
      <c r="G133" s="1055"/>
      <c r="H133" s="1055"/>
      <c r="I133" s="1055"/>
      <c r="J133" s="1055"/>
      <c r="K133" s="1055"/>
      <c r="L133" s="1055"/>
      <c r="M133" s="1055"/>
      <c r="N133" s="1055"/>
      <c r="O133" s="1055"/>
      <c r="P133" s="1055"/>
      <c r="Q133" s="1056"/>
      <c r="R133" s="1057"/>
      <c r="S133" s="1058"/>
      <c r="T133" s="733" t="s">
        <v>765</v>
      </c>
      <c r="U133" s="2390">
        <v>1</v>
      </c>
      <c r="V133" s="2390" t="s">
        <v>728</v>
      </c>
      <c r="W133" s="1652"/>
      <c r="X133" s="1652"/>
      <c r="Y133" s="1652"/>
      <c r="Z133" s="1652"/>
      <c r="AA133" s="1652"/>
      <c r="AB133" s="1652"/>
      <c r="AC133" s="1053"/>
      <c r="AD133" s="1054"/>
      <c r="AE133" s="1652"/>
      <c r="AF133" s="1652"/>
      <c r="AG133" s="1652"/>
      <c r="AH133" s="1652"/>
      <c r="AI133" s="1652"/>
      <c r="AJ133" s="1652"/>
      <c r="AK133" s="1652"/>
      <c r="AL133" s="1652"/>
      <c r="AM133" s="1652"/>
      <c r="AN133" s="1652"/>
      <c r="AO133" s="1652"/>
      <c r="AP133" s="1652"/>
      <c r="AQ133" s="1652"/>
      <c r="AR133" s="1652"/>
      <c r="AS133" s="1652"/>
      <c r="AT133" s="1652"/>
      <c r="AU133" s="1652"/>
      <c r="AV133" s="1652"/>
      <c r="AW133" s="1652"/>
      <c r="AX133" s="1652"/>
      <c r="AY133" s="1652"/>
      <c r="AZ133" s="1652"/>
      <c r="BA133" s="1652"/>
      <c r="BB133" s="1652"/>
      <c r="BC133" s="1652"/>
      <c r="BD133" s="1652"/>
      <c r="BE133" s="1652"/>
      <c r="BF133" s="1652"/>
      <c r="BG133" s="1652"/>
      <c r="BH133" s="1652"/>
      <c r="BI133" s="1652"/>
      <c r="BJ133" s="1652"/>
      <c r="BK133" s="1652"/>
      <c r="BL133" s="1652"/>
      <c r="BM133" s="1652"/>
      <c r="BN133" s="1652"/>
      <c r="BO133" s="1652"/>
      <c r="BP133" s="1652"/>
      <c r="BQ133" s="1652"/>
      <c r="BR133" s="1652"/>
      <c r="BS133" s="1652"/>
      <c r="BT133" s="1652"/>
      <c r="BU133" s="1652"/>
      <c r="BV133" s="1652"/>
      <c r="BW133" s="1652"/>
      <c r="BX133" s="1652"/>
      <c r="BY133" s="1652"/>
      <c r="BZ133" s="1652"/>
      <c r="CA133" s="1652"/>
      <c r="CB133" s="1652"/>
      <c r="CC133" s="1652"/>
      <c r="CD133" s="1652"/>
      <c r="CE133" s="1652"/>
    </row>
    <row s="1332" customFormat="1" customHeight="1" ht="5.25" hidden="1">
      <c r="A134" s="1809"/>
      <c r="B134" s="1652"/>
      <c r="C134" s="1652"/>
      <c r="D134" s="2595"/>
      <c r="E134" s="651"/>
      <c r="F134" s="651"/>
      <c r="G134" s="651"/>
      <c r="H134" s="651"/>
      <c r="I134" s="651"/>
      <c r="J134" s="651"/>
      <c r="K134" s="651"/>
      <c r="L134" s="651"/>
      <c r="M134" s="651"/>
      <c r="N134" s="651"/>
      <c r="O134" s="651"/>
      <c r="P134" s="651"/>
      <c r="Q134" s="651"/>
      <c r="R134" s="651"/>
      <c r="S134" s="652"/>
      <c r="T134" s="734"/>
      <c r="U134" s="2390"/>
      <c r="V134" s="2390"/>
      <c r="W134" s="1652"/>
      <c r="X134" s="1652"/>
      <c r="Y134" s="1652"/>
      <c r="Z134" s="1652"/>
      <c r="AA134" s="1652"/>
      <c r="AB134" s="1652"/>
      <c r="AC134" s="1053"/>
      <c r="AD134" s="1054"/>
      <c r="AE134" s="1652"/>
      <c r="AF134" s="1652"/>
      <c r="AG134" s="1652"/>
      <c r="AH134" s="1652"/>
      <c r="AI134" s="1652"/>
      <c r="AJ134" s="1652"/>
      <c r="AK134" s="1652"/>
      <c r="AL134" s="1652"/>
      <c r="AM134" s="1652"/>
      <c r="AN134" s="1652"/>
      <c r="AO134" s="1652"/>
      <c r="AP134" s="1652"/>
      <c r="AQ134" s="1652"/>
      <c r="AR134" s="1652"/>
      <c r="AS134" s="1652"/>
      <c r="AT134" s="1652"/>
      <c r="AU134" s="1652"/>
      <c r="AV134" s="1652"/>
      <c r="AW134" s="1652"/>
      <c r="AX134" s="1652"/>
      <c r="AY134" s="1652"/>
      <c r="AZ134" s="1652"/>
      <c r="BA134" s="1652"/>
      <c r="BB134" s="1652"/>
      <c r="BC134" s="1652"/>
      <c r="BD134" s="1652"/>
      <c r="BE134" s="1652"/>
      <c r="BF134" s="1652"/>
      <c r="BG134" s="1652"/>
      <c r="BH134" s="1652"/>
      <c r="BI134" s="1652"/>
      <c r="BJ134" s="1652"/>
      <c r="BK134" s="1652"/>
      <c r="BL134" s="1652"/>
      <c r="BM134" s="1652"/>
      <c r="BN134" s="1652"/>
      <c r="BO134" s="1652"/>
      <c r="BP134" s="1652"/>
      <c r="BQ134" s="1652"/>
      <c r="BR134" s="1652"/>
      <c r="BS134" s="1652"/>
      <c r="BT134" s="1652"/>
      <c r="BU134" s="1652"/>
      <c r="BV134" s="1652"/>
      <c r="BW134" s="1652"/>
      <c r="BX134" s="1652"/>
      <c r="BY134" s="1652"/>
      <c r="BZ134" s="1652"/>
      <c r="CA134" s="1652"/>
      <c r="CB134" s="1652"/>
      <c r="CC134" s="1652"/>
      <c r="CD134" s="1652"/>
      <c r="CE134" s="1652"/>
    </row>
    <row s="1332" customFormat="1" customHeight="1" ht="5.25" hidden="1">
      <c r="A135" s="1809"/>
      <c r="B135" s="1652"/>
      <c r="C135" s="1652"/>
      <c r="D135" s="2596"/>
      <c r="E135" s="1059"/>
      <c r="F135" s="1060"/>
      <c r="G135" s="1060"/>
      <c r="H135" s="1061"/>
      <c r="I135" s="1061"/>
      <c r="J135" s="1061"/>
      <c r="K135" s="1061"/>
      <c r="L135" s="1061"/>
      <c r="M135" s="1061"/>
      <c r="N135" s="1061"/>
      <c r="O135" s="1061"/>
      <c r="P135" s="1061"/>
      <c r="Q135" s="1061"/>
      <c r="R135" s="962"/>
      <c r="S135" s="1062"/>
      <c r="T135" s="734"/>
      <c r="U135" s="2390"/>
      <c r="V135" s="2390"/>
      <c r="W135" s="1652"/>
      <c r="X135" s="1652"/>
      <c r="Y135" s="1652"/>
      <c r="Z135" s="1652"/>
      <c r="AA135" s="1652"/>
      <c r="AB135" s="1652"/>
      <c r="AC135" s="1053"/>
      <c r="AD135" s="1054"/>
      <c r="AE135" s="1652"/>
      <c r="AF135" s="1652"/>
      <c r="AG135" s="1652"/>
      <c r="AH135" s="1652"/>
      <c r="AI135" s="1652"/>
      <c r="AJ135" s="1652"/>
      <c r="AK135" s="1652"/>
      <c r="AL135" s="1652"/>
      <c r="AM135" s="1652"/>
      <c r="AN135" s="1652"/>
      <c r="AO135" s="1652"/>
      <c r="AP135" s="1652"/>
      <c r="AQ135" s="1652"/>
      <c r="AR135" s="1652"/>
      <c r="AS135" s="1652"/>
      <c r="AT135" s="1652"/>
      <c r="AU135" s="1652"/>
      <c r="AV135" s="1652"/>
      <c r="AW135" s="1652"/>
      <c r="AX135" s="1652"/>
      <c r="AY135" s="1652"/>
      <c r="AZ135" s="1652"/>
      <c r="BA135" s="1652"/>
      <c r="BB135" s="1652"/>
      <c r="BC135" s="1652"/>
      <c r="BD135" s="1652"/>
      <c r="BE135" s="1652"/>
      <c r="BF135" s="1652"/>
      <c r="BG135" s="1652"/>
      <c r="BH135" s="1652"/>
      <c r="BI135" s="1652"/>
      <c r="BJ135" s="1652"/>
      <c r="BK135" s="1652"/>
      <c r="BL135" s="1652"/>
      <c r="BM135" s="1652"/>
      <c r="BN135" s="1652"/>
      <c r="BO135" s="1652"/>
      <c r="BP135" s="1652"/>
      <c r="BQ135" s="1652"/>
      <c r="BR135" s="1652"/>
      <c r="BS135" s="1652"/>
      <c r="BT135" s="1652"/>
      <c r="BU135" s="1652"/>
      <c r="BV135" s="1652"/>
      <c r="BW135" s="1652"/>
      <c r="BX135" s="1652"/>
      <c r="BY135" s="1652"/>
      <c r="BZ135" s="1652"/>
      <c r="CA135" s="1652"/>
      <c r="CB135" s="1652"/>
      <c r="CC135" s="1652"/>
      <c r="CD135" s="1652"/>
      <c r="CE135" s="1652"/>
    </row>
    <row customHeight="1" ht="17.25">
      <c r="D136" s="1852"/>
    </row>
    <row s="1831" customFormat="1" customHeight="1" ht="11.25">
      <c r="A137" s="1831" t="s">
        <v>2081</v>
      </c>
    </row>
    <row r="139" s="1866" customFormat="1" customHeight="1" ht="45">
      <c r="A139" s="1822"/>
      <c r="B139" s="1176"/>
      <c r="C139" s="428"/>
      <c r="D139" s="105"/>
      <c r="E139" s="2588"/>
      <c r="F139" s="2124" t="s">
        <v>141</v>
      </c>
      <c r="G139" s="2591" t="s">
        <v>28</v>
      </c>
      <c r="H139" s="305"/>
      <c r="I139" s="653" t="s">
        <v>141</v>
      </c>
      <c r="J139" s="1823" t="s">
        <v>2082</v>
      </c>
      <c r="K139" s="654" t="s">
        <v>699</v>
      </c>
      <c r="L139" s="2240" t="s">
        <v>699</v>
      </c>
      <c r="M139" s="2593"/>
      <c r="N139" s="654" t="s">
        <v>699</v>
      </c>
      <c r="O139" s="654" t="s">
        <v>699</v>
      </c>
      <c r="P139" s="654" t="s">
        <v>699</v>
      </c>
      <c r="Q139" s="655">
        <f>SUM(Q140:Q142)</f>
        <v>0</v>
      </c>
      <c r="R139" s="655">
        <f>IF(R136=0,0,(Q136/R136)*100)</f>
        <v>0</v>
      </c>
      <c r="S139" s="2195"/>
      <c r="T139" s="733" t="s">
        <v>765</v>
      </c>
      <c r="U139" s="105"/>
      <c r="V139" s="105"/>
      <c r="AC139" s="105"/>
    </row>
    <row s="1866" customFormat="1" customHeight="1" ht="11.25">
      <c r="A140" s="1822"/>
      <c r="B140" s="1176"/>
      <c r="C140" s="428"/>
      <c r="D140" s="105"/>
      <c r="E140" s="2589"/>
      <c r="F140" s="2124"/>
      <c r="G140" s="2591"/>
      <c r="H140" s="2143"/>
      <c r="I140" s="2531" t="s">
        <v>1174</v>
      </c>
      <c r="J140" s="2585"/>
      <c r="K140" s="2586"/>
      <c r="L140" s="656"/>
      <c r="M140" s="657" t="s">
        <v>141</v>
      </c>
      <c r="N140" s="1811"/>
      <c r="O140" s="658"/>
      <c r="P140" s="659"/>
      <c r="Q140" s="658"/>
      <c r="R140" s="660">
        <v>0</v>
      </c>
      <c r="S140" s="2195"/>
      <c r="T140" s="733"/>
      <c r="U140" s="105"/>
      <c r="V140" s="105"/>
      <c r="AC140" s="105"/>
    </row>
    <row s="1866" customFormat="1" customHeight="1" ht="11.25">
      <c r="A141" s="1822"/>
      <c r="B141" s="1176"/>
      <c r="C141" s="428"/>
      <c r="D141" s="105"/>
      <c r="E141" s="2589"/>
      <c r="F141" s="2124"/>
      <c r="G141" s="2591"/>
      <c r="H141" s="2143"/>
      <c r="I141" s="2531"/>
      <c r="J141" s="2585"/>
      <c r="K141" s="2587"/>
      <c r="L141" s="661"/>
      <c r="M141" s="662"/>
      <c r="N141" s="663" t="s">
        <v>2083</v>
      </c>
      <c r="O141" s="663"/>
      <c r="P141" s="663"/>
      <c r="Q141" s="663"/>
      <c r="R141" s="664"/>
      <c r="S141" s="2195"/>
      <c r="T141" s="733"/>
      <c r="U141" s="105"/>
      <c r="V141" s="105"/>
      <c r="AC141" s="105"/>
    </row>
    <row s="1866" customFormat="1" customHeight="1" ht="11.25">
      <c r="A142" s="1822"/>
      <c r="B142" s="1176"/>
      <c r="C142" s="428"/>
      <c r="D142" s="105"/>
      <c r="E142" s="2590"/>
      <c r="F142" s="2124"/>
      <c r="G142" s="2592"/>
      <c r="H142" s="661" t="s">
        <v>28</v>
      </c>
      <c r="I142" s="662"/>
      <c r="J142" s="663" t="s">
        <v>2084</v>
      </c>
      <c r="K142" s="663"/>
      <c r="L142" s="663"/>
      <c r="M142" s="663"/>
      <c r="N142" s="663"/>
      <c r="O142" s="663"/>
      <c r="P142" s="663"/>
      <c r="Q142" s="663"/>
      <c r="R142" s="664"/>
      <c r="S142" s="2195"/>
      <c r="T142" s="733"/>
      <c r="U142" s="105"/>
      <c r="V142" s="105"/>
      <c r="AC142" s="105"/>
    </row>
    <row r="147" s="1866" customFormat="1" customHeight="1" ht="11.25">
      <c r="A147" s="1822"/>
      <c r="B147" s="1176"/>
      <c r="C147" s="428"/>
      <c r="D147" s="105"/>
      <c r="E147" s="1846"/>
      <c r="F147" s="1846"/>
      <c r="G147" s="1846"/>
      <c r="H147" s="2143"/>
      <c r="I147" s="2531" t="s">
        <v>1174</v>
      </c>
      <c r="J147" s="2585"/>
      <c r="K147" s="2586"/>
      <c r="L147" s="656"/>
      <c r="M147" s="657" t="s">
        <v>141</v>
      </c>
      <c r="N147" s="1811"/>
      <c r="O147" s="658"/>
      <c r="P147" s="659"/>
      <c r="Q147" s="658"/>
      <c r="R147" s="660">
        <v>0</v>
      </c>
      <c r="S147" s="105"/>
      <c r="T147" s="733"/>
      <c r="U147" s="105"/>
      <c r="V147" s="105"/>
      <c r="AC147" s="105"/>
    </row>
    <row s="1866" customFormat="1" customHeight="1" ht="11.25">
      <c r="A148" s="1822"/>
      <c r="B148" s="1176"/>
      <c r="C148" s="428"/>
      <c r="D148" s="105"/>
      <c r="E148" s="1846"/>
      <c r="F148" s="1846"/>
      <c r="G148" s="1846"/>
      <c r="H148" s="2143"/>
      <c r="I148" s="2531"/>
      <c r="J148" s="2585"/>
      <c r="K148" s="2587"/>
      <c r="L148" s="661"/>
      <c r="M148" s="662"/>
      <c r="N148" s="663" t="s">
        <v>2083</v>
      </c>
      <c r="O148" s="663"/>
      <c r="P148" s="663"/>
      <c r="Q148" s="663"/>
      <c r="R148" s="664"/>
      <c r="S148" s="105"/>
      <c r="T148" s="733"/>
      <c r="U148" s="105"/>
      <c r="V148" s="105"/>
      <c r="AC148" s="105"/>
    </row>
    <row r="150" s="1866" customFormat="1" customHeight="1" ht="11.25">
      <c r="A150" s="1822"/>
      <c r="B150" s="1176"/>
      <c r="C150" s="428"/>
      <c r="D150" s="105"/>
      <c r="E150" s="1853"/>
      <c r="F150" s="1851"/>
      <c r="G150" s="1851"/>
      <c r="H150" s="1854"/>
      <c r="I150" s="1846"/>
      <c r="J150" s="1847"/>
      <c r="K150" s="1847"/>
      <c r="L150" s="656"/>
      <c r="M150" s="657" t="s">
        <v>141</v>
      </c>
      <c r="N150" s="1811"/>
      <c r="O150" s="658"/>
      <c r="P150" s="659"/>
      <c r="Q150" s="658"/>
      <c r="R150" s="660">
        <v>0</v>
      </c>
      <c r="S150" s="105"/>
      <c r="T150" s="733"/>
      <c r="U150" s="105"/>
      <c r="V150" s="105"/>
      <c r="AC150" s="105"/>
    </row>
    <row r="152" s="1831" customFormat="1" customHeight="1" ht="17.25">
      <c r="A152" s="1831" t="s">
        <v>2085</v>
      </c>
    </row>
    <row customHeight="1" ht="17.25">
      <c r="G153" s="1855"/>
      <c r="H153" s="1855"/>
      <c r="I153" s="1855"/>
      <c r="M153" s="1851"/>
    </row>
    <row s="1869" customFormat="1" customHeight="1" ht="17.25">
      <c r="A154" s="1856"/>
      <c r="C154" s="1858"/>
      <c r="D154" s="2545"/>
      <c r="E154" s="2159"/>
      <c r="F154" s="2161"/>
      <c r="G154" s="2547"/>
      <c r="H154" s="2545"/>
      <c r="I154" s="2545">
        <v>1</v>
      </c>
      <c r="J154" s="2517"/>
      <c r="K154" s="2201" t="s">
        <v>64</v>
      </c>
      <c r="L154" s="2124"/>
      <c r="M154" s="2124" t="s">
        <v>141</v>
      </c>
      <c r="N154" s="2520" t="str">
        <f>IF(Z154="","",INDEX(TERRITORY_MR_LIST,MATCH(Z154,TERRITORY_LIST_ID,0)))</f>
        <v/>
      </c>
      <c r="O154" s="2201" t="s">
        <v>64</v>
      </c>
      <c r="P154" s="2124"/>
      <c r="Q154" s="2124" t="s">
        <v>141</v>
      </c>
      <c r="R154" s="2518" t="s">
        <v>28</v>
      </c>
      <c r="S154" s="2123" t="s">
        <v>64</v>
      </c>
      <c r="T154" s="1827"/>
      <c r="U154" s="1827" t="s">
        <v>141</v>
      </c>
      <c r="V154" s="1859" t="s">
        <v>28</v>
      </c>
      <c r="W154" s="1817"/>
      <c r="Y154" s="1283"/>
      <c r="Z154" s="1283"/>
      <c r="AA154" s="1283"/>
      <c r="AB154" s="1283"/>
      <c r="AC154" s="1283"/>
      <c r="AD154" s="1283"/>
      <c r="AE154" s="1283"/>
      <c r="AF154" s="1283"/>
      <c r="AG154" s="1283"/>
      <c r="AH154" s="1283"/>
      <c r="AI154" s="1283"/>
      <c r="AJ154" s="1283"/>
      <c r="AK154" s="1283"/>
      <c r="AL154" s="1860"/>
      <c r="AM154" s="1860"/>
      <c r="AN154" s="1283"/>
      <c r="AO154" s="1283"/>
      <c r="AP154" s="1283"/>
      <c r="AQ154" s="1283"/>
    </row>
    <row s="1869" customFormat="1" customHeight="1" ht="17.25">
      <c r="A155" s="1856"/>
      <c r="C155" s="1861"/>
      <c r="D155" s="2545"/>
      <c r="E155" s="2159"/>
      <c r="F155" s="2162"/>
      <c r="G155" s="2547"/>
      <c r="H155" s="2545"/>
      <c r="I155" s="2545"/>
      <c r="J155" s="2517"/>
      <c r="K155" s="2202"/>
      <c r="L155" s="2124"/>
      <c r="M155" s="2124"/>
      <c r="N155" s="2520"/>
      <c r="O155" s="2202"/>
      <c r="P155" s="2124"/>
      <c r="Q155" s="2124"/>
      <c r="R155" s="2518"/>
      <c r="S155" s="2123"/>
      <c r="T155" s="333"/>
      <c r="U155" s="334"/>
      <c r="V155" s="334" t="s">
        <v>268</v>
      </c>
      <c r="W155" s="335"/>
      <c r="Y155" s="1275"/>
      <c r="Z155" s="1275"/>
      <c r="AA155" s="1275"/>
      <c r="AB155" s="1275"/>
      <c r="AC155" s="1275"/>
      <c r="AD155" s="1275"/>
      <c r="AE155" s="1275"/>
      <c r="AF155" s="1275"/>
      <c r="AG155" s="1275"/>
      <c r="AH155" s="1275"/>
      <c r="AI155" s="1275"/>
      <c r="AJ155" s="1275"/>
      <c r="AK155" s="1275"/>
    </row>
    <row s="1869" customFormat="1" customHeight="1" ht="17.25">
      <c r="A156" s="1856"/>
      <c r="C156" s="1861"/>
      <c r="D156" s="2519"/>
      <c r="E156" s="2546"/>
      <c r="F156" s="2162"/>
      <c r="G156" s="2548"/>
      <c r="H156" s="2519"/>
      <c r="I156" s="2519"/>
      <c r="J156" s="2549"/>
      <c r="K156" s="2202"/>
      <c r="L156" s="2519"/>
      <c r="M156" s="2519"/>
      <c r="N156" s="2521"/>
      <c r="O156" s="2128"/>
      <c r="P156" s="333"/>
      <c r="Q156" s="334"/>
      <c r="R156" s="334" t="s">
        <v>269</v>
      </c>
      <c r="S156" s="1862"/>
      <c r="T156" s="1862"/>
      <c r="U156" s="1862"/>
      <c r="V156" s="1862"/>
      <c r="W156" s="335"/>
      <c r="Y156" s="1275"/>
      <c r="Z156" s="1275"/>
      <c r="AA156" s="1275"/>
      <c r="AB156" s="1275"/>
      <c r="AC156" s="1275"/>
      <c r="AD156" s="1275"/>
      <c r="AE156" s="1275"/>
      <c r="AF156" s="1275"/>
      <c r="AG156" s="1275"/>
      <c r="AH156" s="1275"/>
      <c r="AI156" s="1275"/>
      <c r="AJ156" s="1275"/>
      <c r="AK156" s="1275"/>
    </row>
    <row s="1869" customFormat="1" customHeight="1" ht="17.25">
      <c r="A157" s="1856"/>
      <c r="C157" s="1861"/>
      <c r="D157" s="2519"/>
      <c r="E157" s="2546"/>
      <c r="F157" s="2162"/>
      <c r="G157" s="2548"/>
      <c r="H157" s="2519"/>
      <c r="I157" s="2519"/>
      <c r="J157" s="2549"/>
      <c r="K157" s="2128"/>
      <c r="L157" s="333"/>
      <c r="M157" s="334"/>
      <c r="N157" s="334" t="s">
        <v>330</v>
      </c>
      <c r="O157" s="334"/>
      <c r="P157" s="334"/>
      <c r="Q157" s="334"/>
      <c r="R157" s="334"/>
      <c r="S157" s="1862"/>
      <c r="T157" s="1862"/>
      <c r="U157" s="1862"/>
      <c r="V157" s="1862"/>
      <c r="W157" s="335"/>
      <c r="Y157" s="1275"/>
      <c r="Z157" s="1275"/>
      <c r="AA157" s="1275"/>
      <c r="AB157" s="1275"/>
      <c r="AC157" s="1275"/>
      <c r="AD157" s="1275"/>
      <c r="AE157" s="1275"/>
      <c r="AF157" s="1275"/>
      <c r="AG157" s="1275"/>
      <c r="AH157" s="1275"/>
      <c r="AI157" s="1275"/>
      <c r="AJ157" s="1275"/>
      <c r="AK157" s="1275"/>
    </row>
    <row s="1869" customFormat="1" customHeight="1" ht="17.25">
      <c r="A158" s="1856"/>
      <c r="C158" s="1861"/>
      <c r="D158" s="2519"/>
      <c r="E158" s="2546"/>
      <c r="F158" s="2163"/>
      <c r="G158" s="2548"/>
      <c r="H158" s="333"/>
      <c r="I158" s="334"/>
      <c r="J158" s="334" t="s">
        <v>356</v>
      </c>
      <c r="K158" s="334"/>
      <c r="L158" s="334"/>
      <c r="M158" s="334"/>
      <c r="N158" s="334"/>
      <c r="O158" s="334"/>
      <c r="P158" s="334"/>
      <c r="Q158" s="334"/>
      <c r="R158" s="334"/>
      <c r="S158" s="1862"/>
      <c r="T158" s="1862"/>
      <c r="U158" s="1862"/>
      <c r="V158" s="1862"/>
      <c r="W158" s="335"/>
      <c r="Y158" s="1275"/>
      <c r="Z158" s="1275"/>
      <c r="AA158" s="1275"/>
      <c r="AB158" s="1275"/>
      <c r="AC158" s="1275"/>
      <c r="AD158" s="1275"/>
      <c r="AE158" s="1275"/>
      <c r="AF158" s="1275"/>
      <c r="AG158" s="1275"/>
      <c r="AH158" s="1275"/>
      <c r="AI158" s="1275"/>
      <c r="AJ158" s="1275"/>
      <c r="AK158" s="1275"/>
    </row>
    <row customHeight="1" ht="17.25">
      <c r="G159" s="1855"/>
      <c r="H159" s="1855"/>
      <c r="I159" s="1855"/>
      <c r="M159" s="1851"/>
    </row>
    <row s="1869" customFormat="1" customHeight="1" ht="17.25">
      <c r="A160" s="1856"/>
      <c r="C160" s="1858"/>
      <c r="D160" s="1846"/>
      <c r="E160" s="1863"/>
      <c r="F160" s="1800"/>
      <c r="G160" s="1864"/>
      <c r="H160" s="2545"/>
      <c r="I160" s="2545">
        <v>1</v>
      </c>
      <c r="J160" s="2517"/>
      <c r="K160" s="2201" t="s">
        <v>64</v>
      </c>
      <c r="L160" s="2124"/>
      <c r="M160" s="2124" t="s">
        <v>141</v>
      </c>
      <c r="N160" s="2520" t="str">
        <f>IF(Z160="","",INDEX(TERRITORY_MR_LIST,MATCH(Z160,TERRITORY_LIST_ID,0)))</f>
        <v/>
      </c>
      <c r="O160" s="2201" t="s">
        <v>64</v>
      </c>
      <c r="P160" s="2124"/>
      <c r="Q160" s="2124" t="s">
        <v>141</v>
      </c>
      <c r="R160" s="2518" t="s">
        <v>28</v>
      </c>
      <c r="S160" s="2123" t="s">
        <v>64</v>
      </c>
      <c r="T160" s="1827"/>
      <c r="U160" s="1827" t="s">
        <v>141</v>
      </c>
      <c r="V160" s="1859" t="s">
        <v>28</v>
      </c>
      <c r="W160" s="1817"/>
      <c r="Y160" s="1283"/>
      <c r="Z160" s="1283"/>
      <c r="AA160" s="1283"/>
      <c r="AB160" s="1283"/>
      <c r="AC160" s="1283"/>
      <c r="AD160" s="1283"/>
      <c r="AE160" s="1283"/>
      <c r="AF160" s="1283"/>
      <c r="AG160" s="1283"/>
      <c r="AH160" s="1283"/>
      <c r="AI160" s="1283"/>
      <c r="AJ160" s="1283"/>
      <c r="AK160" s="1283"/>
      <c r="AL160" s="1860"/>
      <c r="AM160" s="1860"/>
      <c r="AN160" s="1283"/>
      <c r="AO160" s="1283"/>
      <c r="AP160" s="1283"/>
      <c r="AQ160" s="1283"/>
    </row>
    <row s="1869" customFormat="1" customHeight="1" ht="17.25">
      <c r="A161" s="1856"/>
      <c r="C161" s="1861"/>
      <c r="D161" s="1846"/>
      <c r="E161" s="1863"/>
      <c r="F161" s="1800"/>
      <c r="G161" s="1864"/>
      <c r="H161" s="2545"/>
      <c r="I161" s="2545"/>
      <c r="J161" s="2517"/>
      <c r="K161" s="2202"/>
      <c r="L161" s="2124"/>
      <c r="M161" s="2124"/>
      <c r="N161" s="2520"/>
      <c r="O161" s="2202"/>
      <c r="P161" s="2124"/>
      <c r="Q161" s="2124"/>
      <c r="R161" s="2518"/>
      <c r="S161" s="2123"/>
      <c r="T161" s="333"/>
      <c r="U161" s="334"/>
      <c r="V161" s="334" t="s">
        <v>268</v>
      </c>
      <c r="W161" s="335"/>
      <c r="Y161" s="1275"/>
      <c r="Z161" s="1275"/>
      <c r="AA161" s="1275"/>
      <c r="AB161" s="1275"/>
      <c r="AC161" s="1275"/>
      <c r="AD161" s="1275"/>
      <c r="AE161" s="1275"/>
      <c r="AF161" s="1275"/>
      <c r="AG161" s="1275"/>
      <c r="AH161" s="1275"/>
      <c r="AI161" s="1275"/>
      <c r="AJ161" s="1275"/>
      <c r="AK161" s="1275"/>
    </row>
    <row s="1869" customFormat="1" customHeight="1" ht="17.25">
      <c r="A162" s="1856"/>
      <c r="C162" s="1861"/>
      <c r="D162" s="1846"/>
      <c r="E162" s="1863"/>
      <c r="F162" s="1800"/>
      <c r="G162" s="1864"/>
      <c r="H162" s="2519"/>
      <c r="I162" s="2519"/>
      <c r="J162" s="2549"/>
      <c r="K162" s="2202"/>
      <c r="L162" s="2519"/>
      <c r="M162" s="2519"/>
      <c r="N162" s="2521"/>
      <c r="O162" s="2128"/>
      <c r="P162" s="333"/>
      <c r="Q162" s="334"/>
      <c r="R162" s="334" t="s">
        <v>269</v>
      </c>
      <c r="S162" s="1862"/>
      <c r="T162" s="1862"/>
      <c r="U162" s="1862"/>
      <c r="V162" s="1862"/>
      <c r="W162" s="335"/>
      <c r="Y162" s="1275"/>
      <c r="Z162" s="1275"/>
      <c r="AA162" s="1275"/>
      <c r="AB162" s="1275"/>
      <c r="AC162" s="1275"/>
      <c r="AD162" s="1275"/>
      <c r="AE162" s="1275"/>
      <c r="AF162" s="1275"/>
      <c r="AG162" s="1275"/>
      <c r="AH162" s="1275"/>
      <c r="AI162" s="1275"/>
      <c r="AJ162" s="1275"/>
      <c r="AK162" s="1275"/>
    </row>
    <row s="1869" customFormat="1" customHeight="1" ht="17.25">
      <c r="A163" s="1856"/>
      <c r="C163" s="1861"/>
      <c r="D163" s="1846"/>
      <c r="E163" s="1863"/>
      <c r="F163" s="1800"/>
      <c r="G163" s="1864"/>
      <c r="H163" s="2519"/>
      <c r="I163" s="2519"/>
      <c r="J163" s="2549"/>
      <c r="K163" s="2128"/>
      <c r="L163" s="333"/>
      <c r="M163" s="334"/>
      <c r="N163" s="334" t="s">
        <v>330</v>
      </c>
      <c r="O163" s="334"/>
      <c r="P163" s="334"/>
      <c r="Q163" s="334"/>
      <c r="R163" s="334"/>
      <c r="S163" s="1862"/>
      <c r="T163" s="1862"/>
      <c r="U163" s="1862"/>
      <c r="V163" s="1862"/>
      <c r="W163" s="335"/>
      <c r="Y163" s="1275"/>
      <c r="Z163" s="1275"/>
      <c r="AA163" s="1275"/>
      <c r="AB163" s="1275"/>
      <c r="AC163" s="1275"/>
      <c r="AD163" s="1275"/>
      <c r="AE163" s="1275"/>
      <c r="AF163" s="1275"/>
      <c r="AG163" s="1275"/>
      <c r="AH163" s="1275"/>
      <c r="AI163" s="1275"/>
      <c r="AJ163" s="1275"/>
      <c r="AK163" s="1275"/>
    </row>
    <row customHeight="1" ht="17.25">
      <c r="G164" s="1855"/>
      <c r="H164" s="1855"/>
      <c r="I164" s="1855"/>
      <c r="M164" s="1851"/>
    </row>
    <row s="1869" customFormat="1" customHeight="1" ht="17.25">
      <c r="A165" s="1856"/>
      <c r="C165" s="1858"/>
      <c r="D165" s="1846"/>
      <c r="E165" s="1863"/>
      <c r="F165" s="1800"/>
      <c r="G165" s="1864"/>
      <c r="H165" s="1846"/>
      <c r="I165" s="1846"/>
      <c r="J165" s="1865"/>
      <c r="K165" s="1776"/>
      <c r="L165" s="2124"/>
      <c r="M165" s="2124" t="s">
        <v>141</v>
      </c>
      <c r="N165" s="2520" t="str">
        <f>IF(Z165="","",INDEX(TERRITORY_MR_LIST,MATCH(Z165,TERRITORY_LIST_ID,0)))</f>
        <v/>
      </c>
      <c r="O165" s="2201" t="s">
        <v>64</v>
      </c>
      <c r="P165" s="2124"/>
      <c r="Q165" s="2124" t="s">
        <v>141</v>
      </c>
      <c r="R165" s="2518" t="s">
        <v>28</v>
      </c>
      <c r="S165" s="2123" t="s">
        <v>64</v>
      </c>
      <c r="T165" s="1827"/>
      <c r="U165" s="1827" t="s">
        <v>141</v>
      </c>
      <c r="V165" s="1859" t="s">
        <v>28</v>
      </c>
      <c r="W165" s="1817"/>
      <c r="Y165" s="1283"/>
      <c r="Z165" s="1283"/>
      <c r="AA165" s="1283"/>
      <c r="AB165" s="1283"/>
      <c r="AC165" s="1283"/>
      <c r="AD165" s="1283"/>
      <c r="AE165" s="1283"/>
      <c r="AF165" s="1283"/>
      <c r="AG165" s="1283"/>
      <c r="AH165" s="1283"/>
      <c r="AI165" s="1283"/>
      <c r="AJ165" s="1283"/>
      <c r="AK165" s="1283"/>
      <c r="AL165" s="1860"/>
      <c r="AM165" s="1860"/>
      <c r="AN165" s="1283"/>
      <c r="AO165" s="1283"/>
      <c r="AP165" s="1283"/>
      <c r="AQ165" s="1283"/>
    </row>
    <row s="1869" customFormat="1" customHeight="1" ht="17.25">
      <c r="A166" s="1856"/>
      <c r="C166" s="1861"/>
      <c r="D166" s="1846"/>
      <c r="E166" s="1863"/>
      <c r="F166" s="1800"/>
      <c r="G166" s="1864"/>
      <c r="H166" s="1846"/>
      <c r="I166" s="1846"/>
      <c r="J166" s="1865"/>
      <c r="K166" s="1776"/>
      <c r="L166" s="2124"/>
      <c r="M166" s="2124"/>
      <c r="N166" s="2520"/>
      <c r="O166" s="2202"/>
      <c r="P166" s="2124"/>
      <c r="Q166" s="2124"/>
      <c r="R166" s="2518"/>
      <c r="S166" s="2123"/>
      <c r="T166" s="333"/>
      <c r="U166" s="334"/>
      <c r="V166" s="334" t="s">
        <v>268</v>
      </c>
      <c r="W166" s="335"/>
      <c r="Y166" s="1275"/>
      <c r="Z166" s="1275"/>
      <c r="AA166" s="1275"/>
      <c r="AB166" s="1275"/>
      <c r="AC166" s="1275"/>
      <c r="AD166" s="1275"/>
      <c r="AE166" s="1275"/>
      <c r="AF166" s="1275"/>
      <c r="AG166" s="1275"/>
      <c r="AH166" s="1275"/>
      <c r="AI166" s="1275"/>
      <c r="AJ166" s="1275"/>
      <c r="AK166" s="1275"/>
    </row>
    <row s="1869" customFormat="1" customHeight="1" ht="17.25">
      <c r="A167" s="1856"/>
      <c r="C167" s="1861"/>
      <c r="D167" s="1846"/>
      <c r="E167" s="1863"/>
      <c r="F167" s="1800"/>
      <c r="G167" s="1864"/>
      <c r="H167" s="1846"/>
      <c r="I167" s="1846"/>
      <c r="J167" s="1865"/>
      <c r="K167" s="1776"/>
      <c r="L167" s="2519"/>
      <c r="M167" s="2519"/>
      <c r="N167" s="2521"/>
      <c r="O167" s="2128"/>
      <c r="P167" s="333"/>
      <c r="Q167" s="334"/>
      <c r="R167" s="334" t="s">
        <v>269</v>
      </c>
      <c r="S167" s="1862"/>
      <c r="T167" s="1862"/>
      <c r="U167" s="1862"/>
      <c r="V167" s="1862"/>
      <c r="W167" s="335"/>
      <c r="Y167" s="1275"/>
      <c r="Z167" s="1275"/>
      <c r="AA167" s="1275"/>
      <c r="AB167" s="1275"/>
      <c r="AC167" s="1275"/>
      <c r="AD167" s="1275"/>
      <c r="AE167" s="1275"/>
      <c r="AF167" s="1275"/>
      <c r="AG167" s="1275"/>
      <c r="AH167" s="1275"/>
      <c r="AI167" s="1275"/>
      <c r="AJ167" s="1275"/>
      <c r="AK167" s="1275"/>
    </row>
    <row customHeight="1" ht="17.25">
      <c r="G168" s="1855"/>
      <c r="H168" s="1855"/>
      <c r="I168" s="1855"/>
      <c r="M168" s="1851"/>
    </row>
    <row s="1869" customFormat="1" customHeight="1" ht="17.25">
      <c r="A169" s="1856"/>
      <c r="C169" s="1858"/>
      <c r="D169" s="1846"/>
      <c r="E169" s="1863"/>
      <c r="F169" s="1800"/>
      <c r="G169" s="1864"/>
      <c r="H169" s="1846"/>
      <c r="I169" s="1846"/>
      <c r="J169" s="1865"/>
      <c r="K169" s="1776"/>
      <c r="L169" s="1772"/>
      <c r="M169" s="1772"/>
      <c r="N169" s="2064"/>
      <c r="O169" s="1803"/>
      <c r="P169" s="2124"/>
      <c r="Q169" s="2124" t="s">
        <v>141</v>
      </c>
      <c r="R169" s="2518" t="s">
        <v>28</v>
      </c>
      <c r="S169" s="2123" t="s">
        <v>64</v>
      </c>
      <c r="T169" s="1827"/>
      <c r="U169" s="1827" t="s">
        <v>141</v>
      </c>
      <c r="V169" s="1859" t="s">
        <v>28</v>
      </c>
      <c r="W169" s="1817"/>
      <c r="Y169" s="1283"/>
      <c r="Z169" s="1283"/>
      <c r="AA169" s="1283"/>
      <c r="AB169" s="1283"/>
      <c r="AC169" s="1283"/>
      <c r="AD169" s="1283"/>
      <c r="AE169" s="1283"/>
      <c r="AF169" s="1283"/>
      <c r="AG169" s="1283"/>
      <c r="AH169" s="1283"/>
      <c r="AI169" s="1283"/>
      <c r="AJ169" s="1283"/>
      <c r="AK169" s="1283"/>
      <c r="AL169" s="1860"/>
      <c r="AM169" s="1860"/>
      <c r="AN169" s="1283"/>
      <c r="AO169" s="1283"/>
      <c r="AP169" s="1283"/>
      <c r="AQ169" s="1283"/>
    </row>
    <row s="1869" customFormat="1" customHeight="1" ht="17.25">
      <c r="A170" s="1856"/>
      <c r="C170" s="1861"/>
      <c r="D170" s="1846"/>
      <c r="E170" s="1863"/>
      <c r="F170" s="1800"/>
      <c r="G170" s="1864"/>
      <c r="H170" s="1846"/>
      <c r="I170" s="1846"/>
      <c r="J170" s="1865"/>
      <c r="K170" s="1776"/>
      <c r="L170" s="1772"/>
      <c r="M170" s="1772"/>
      <c r="N170" s="2064"/>
      <c r="O170" s="1803"/>
      <c r="P170" s="2124"/>
      <c r="Q170" s="2124"/>
      <c r="R170" s="2518"/>
      <c r="S170" s="2123"/>
      <c r="T170" s="333"/>
      <c r="U170" s="334"/>
      <c r="V170" s="334" t="s">
        <v>268</v>
      </c>
      <c r="W170" s="335"/>
      <c r="Y170" s="1275"/>
      <c r="Z170" s="1275"/>
      <c r="AA170" s="1275"/>
      <c r="AB170" s="1275"/>
      <c r="AC170" s="1275"/>
      <c r="AD170" s="1275"/>
      <c r="AE170" s="1275"/>
      <c r="AF170" s="1275"/>
      <c r="AG170" s="1275"/>
      <c r="AH170" s="1275"/>
      <c r="AI170" s="1275"/>
      <c r="AJ170" s="1275"/>
      <c r="AK170" s="1275"/>
    </row>
    <row customHeight="1" ht="17.25">
      <c r="G171" s="1855"/>
      <c r="H171" s="1855"/>
      <c r="I171" s="1855"/>
      <c r="M171" s="1851"/>
    </row>
    <row s="1869" customFormat="1" customHeight="1" ht="17.25">
      <c r="A172" s="1856"/>
      <c r="C172" s="1858"/>
      <c r="D172" s="1846"/>
      <c r="E172" s="1863"/>
      <c r="F172" s="1800"/>
      <c r="G172" s="1864"/>
      <c r="H172" s="1772"/>
      <c r="I172" s="1772"/>
      <c r="J172" s="1773"/>
      <c r="K172" s="1864"/>
      <c r="L172" s="1772"/>
      <c r="M172" s="1772"/>
      <c r="N172" s="1864"/>
      <c r="O172" s="1864"/>
      <c r="P172" s="1772"/>
      <c r="Q172" s="1772"/>
      <c r="R172" s="1774"/>
      <c r="S172" s="1864"/>
      <c r="T172" s="1827"/>
      <c r="U172" s="1827" t="s">
        <v>141</v>
      </c>
      <c r="V172" s="1859" t="s">
        <v>28</v>
      </c>
      <c r="W172" s="1817"/>
      <c r="Y172" s="1283"/>
      <c r="Z172" s="1283"/>
      <c r="AA172" s="1283"/>
      <c r="AB172" s="1283"/>
      <c r="AC172" s="1283"/>
      <c r="AD172" s="1283"/>
      <c r="AE172" s="1283"/>
      <c r="AF172" s="1283"/>
      <c r="AG172" s="1283"/>
      <c r="AH172" s="1283"/>
      <c r="AI172" s="1283"/>
      <c r="AJ172" s="1283"/>
      <c r="AK172" s="1283"/>
      <c r="AL172" s="1860"/>
      <c r="AM172" s="1860"/>
      <c r="AN172" s="1283"/>
      <c r="AO172" s="1283"/>
      <c r="AP172" s="1283"/>
      <c r="AQ172" s="1283"/>
    </row>
    <row r="174" s="1831" customFormat="1" customHeight="1" ht="17.25">
      <c r="A174" s="1831" t="s">
        <v>2086</v>
      </c>
    </row>
    <row customHeight="1" ht="17.25">
      <c r="G175" s="1855"/>
      <c r="H175" s="1855"/>
      <c r="I175" s="1855"/>
      <c r="M175" s="1851"/>
    </row>
    <row s="1869" customFormat="1" customHeight="1" ht="17.25">
      <c r="A176" s="1856"/>
      <c r="C176" s="1858"/>
      <c r="D176" s="2545"/>
      <c r="E176" s="2159"/>
      <c r="F176" s="2161"/>
      <c r="G176" s="2547"/>
      <c r="H176" s="2545"/>
      <c r="I176" s="2545">
        <v>1</v>
      </c>
      <c r="J176" s="2517"/>
      <c r="K176" s="2201" t="s">
        <v>64</v>
      </c>
      <c r="L176" s="2124"/>
      <c r="M176" s="2124" t="s">
        <v>141</v>
      </c>
      <c r="N176" s="2520" t="str">
        <f>IF(Z176="","",INDEX(TERRITORY_MR_LIST,MATCH(Z176,TERRITORY_LIST_ID,0)))</f>
        <v/>
      </c>
      <c r="O176" s="2201" t="s">
        <v>64</v>
      </c>
      <c r="P176" s="2124"/>
      <c r="Q176" s="2124" t="s">
        <v>141</v>
      </c>
      <c r="R176" s="2518" t="s">
        <v>28</v>
      </c>
      <c r="S176" s="2422" t="s">
        <v>19</v>
      </c>
      <c r="T176" s="1818"/>
      <c r="U176" s="1818" t="s">
        <v>141</v>
      </c>
      <c r="V176" s="1450"/>
      <c r="W176" s="2517"/>
      <c r="Y176" s="1283"/>
      <c r="Z176" s="1283"/>
      <c r="AA176" s="1283"/>
      <c r="AB176" s="1283"/>
      <c r="AC176" s="1283"/>
      <c r="AD176" s="1283"/>
      <c r="AE176" s="1283"/>
      <c r="AF176" s="1283"/>
      <c r="AG176" s="1283"/>
      <c r="AH176" s="1283"/>
      <c r="AI176" s="1283"/>
      <c r="AJ176" s="1283"/>
      <c r="AK176" s="1283"/>
      <c r="AL176" s="1860"/>
      <c r="AM176" s="1860"/>
      <c r="AN176" s="1283"/>
      <c r="AO176" s="1283"/>
      <c r="AP176" s="1283"/>
      <c r="AQ176" s="1283"/>
    </row>
    <row s="1869" customFormat="1" customHeight="1" ht="17.25">
      <c r="A177" s="1856"/>
      <c r="C177" s="1861"/>
      <c r="D177" s="2545"/>
      <c r="E177" s="2159"/>
      <c r="F177" s="2162"/>
      <c r="G177" s="2547"/>
      <c r="H177" s="2545"/>
      <c r="I177" s="2545"/>
      <c r="J177" s="2517"/>
      <c r="K177" s="2202"/>
      <c r="L177" s="2124"/>
      <c r="M177" s="2124"/>
      <c r="N177" s="2520"/>
      <c r="O177" s="2202"/>
      <c r="P177" s="2124"/>
      <c r="Q177" s="2124"/>
      <c r="R177" s="2518"/>
      <c r="S177" s="2422"/>
      <c r="T177" s="1451"/>
      <c r="U177" s="1452"/>
      <c r="V177" s="1452"/>
      <c r="W177" s="2517"/>
      <c r="Y177" s="1275"/>
      <c r="Z177" s="1275"/>
      <c r="AA177" s="1275"/>
      <c r="AB177" s="1275"/>
      <c r="AC177" s="1275"/>
      <c r="AD177" s="1275"/>
      <c r="AE177" s="1275"/>
      <c r="AF177" s="1275"/>
      <c r="AG177" s="1275"/>
      <c r="AH177" s="1275"/>
      <c r="AI177" s="1275"/>
      <c r="AJ177" s="1275"/>
      <c r="AK177" s="1275"/>
    </row>
    <row s="1869" customFormat="1" customHeight="1" ht="17.25">
      <c r="A178" s="1856"/>
      <c r="C178" s="1861"/>
      <c r="D178" s="2519"/>
      <c r="E178" s="2546"/>
      <c r="F178" s="2162"/>
      <c r="G178" s="2548"/>
      <c r="H178" s="2519"/>
      <c r="I178" s="2519"/>
      <c r="J178" s="2549"/>
      <c r="K178" s="2202"/>
      <c r="L178" s="2519"/>
      <c r="M178" s="2519"/>
      <c r="N178" s="2521"/>
      <c r="O178" s="2128"/>
      <c r="P178" s="333"/>
      <c r="Q178" s="334"/>
      <c r="R178" s="334" t="s">
        <v>269</v>
      </c>
      <c r="S178" s="1862"/>
      <c r="T178" s="1862"/>
      <c r="U178" s="1862"/>
      <c r="V178" s="1862"/>
      <c r="W178" s="1449"/>
      <c r="Y178" s="1275"/>
      <c r="Z178" s="1275"/>
      <c r="AA178" s="1275"/>
      <c r="AB178" s="1275"/>
      <c r="AC178" s="1275"/>
      <c r="AD178" s="1275"/>
      <c r="AE178" s="1275"/>
      <c r="AF178" s="1275"/>
      <c r="AG178" s="1275"/>
      <c r="AH178" s="1275"/>
      <c r="AI178" s="1275"/>
      <c r="AJ178" s="1275"/>
      <c r="AK178" s="1275"/>
    </row>
    <row s="1869" customFormat="1" customHeight="1" ht="17.25">
      <c r="A179" s="1856"/>
      <c r="C179" s="1861"/>
      <c r="D179" s="2519"/>
      <c r="E179" s="2546"/>
      <c r="F179" s="2162"/>
      <c r="G179" s="2548"/>
      <c r="H179" s="2519"/>
      <c r="I179" s="2519"/>
      <c r="J179" s="2549"/>
      <c r="K179" s="2128"/>
      <c r="L179" s="333"/>
      <c r="M179" s="334"/>
      <c r="N179" s="334" t="s">
        <v>330</v>
      </c>
      <c r="O179" s="334"/>
      <c r="P179" s="334"/>
      <c r="Q179" s="334"/>
      <c r="R179" s="334"/>
      <c r="S179" s="1862"/>
      <c r="T179" s="1862"/>
      <c r="U179" s="1862"/>
      <c r="V179" s="1862"/>
      <c r="W179" s="335"/>
      <c r="Y179" s="1275"/>
      <c r="Z179" s="1275"/>
      <c r="AA179" s="1275"/>
      <c r="AB179" s="1275"/>
      <c r="AC179" s="1275"/>
      <c r="AD179" s="1275"/>
      <c r="AE179" s="1275"/>
      <c r="AF179" s="1275"/>
      <c r="AG179" s="1275"/>
      <c r="AH179" s="1275"/>
      <c r="AI179" s="1275"/>
      <c r="AJ179" s="1275"/>
      <c r="AK179" s="1275"/>
    </row>
    <row s="1869" customFormat="1" customHeight="1" ht="17.25">
      <c r="A180" s="1856"/>
      <c r="C180" s="1861"/>
      <c r="D180" s="2519"/>
      <c r="E180" s="2546"/>
      <c r="F180" s="2163"/>
      <c r="G180" s="2548"/>
      <c r="H180" s="333"/>
      <c r="I180" s="334"/>
      <c r="J180" s="334" t="s">
        <v>356</v>
      </c>
      <c r="K180" s="334"/>
      <c r="L180" s="334"/>
      <c r="M180" s="334"/>
      <c r="N180" s="334"/>
      <c r="O180" s="334"/>
      <c r="P180" s="334"/>
      <c r="Q180" s="334"/>
      <c r="R180" s="334"/>
      <c r="S180" s="1862"/>
      <c r="T180" s="1862"/>
      <c r="U180" s="1862"/>
      <c r="V180" s="1862"/>
      <c r="W180" s="335"/>
      <c r="Y180" s="1275"/>
      <c r="Z180" s="1275"/>
      <c r="AA180" s="1275"/>
      <c r="AB180" s="1275"/>
      <c r="AC180" s="1275"/>
      <c r="AD180" s="1275"/>
      <c r="AE180" s="1275"/>
      <c r="AF180" s="1275"/>
      <c r="AG180" s="1275"/>
      <c r="AH180" s="1275"/>
      <c r="AI180" s="1275"/>
      <c r="AJ180" s="1275"/>
      <c r="AK180" s="1275"/>
    </row>
    <row customHeight="1" ht="17.25">
      <c r="A181" s="1866"/>
    </row>
    <row s="1869" customFormat="1" customHeight="1" ht="17.25">
      <c r="A182" s="1856"/>
      <c r="C182" s="1858"/>
      <c r="D182" s="1846"/>
      <c r="E182" s="1863"/>
      <c r="F182" s="1800"/>
      <c r="G182" s="1864"/>
      <c r="H182" s="2545"/>
      <c r="I182" s="2545">
        <v>1</v>
      </c>
      <c r="J182" s="2517"/>
      <c r="K182" s="2201" t="s">
        <v>64</v>
      </c>
      <c r="L182" s="2124"/>
      <c r="M182" s="2124" t="s">
        <v>141</v>
      </c>
      <c r="N182" s="2520" t="str">
        <f>IF(Z182="","",INDEX(TERRITORY_MR_LIST,MATCH(Z182,TERRITORY_LIST_ID,0)))</f>
        <v/>
      </c>
      <c r="O182" s="2201" t="s">
        <v>64</v>
      </c>
      <c r="P182" s="2124"/>
      <c r="Q182" s="2124" t="s">
        <v>141</v>
      </c>
      <c r="R182" s="2518" t="s">
        <v>28</v>
      </c>
      <c r="S182" s="2422" t="s">
        <v>19</v>
      </c>
      <c r="T182" s="1818"/>
      <c r="U182" s="1818" t="s">
        <v>141</v>
      </c>
      <c r="V182" s="1450"/>
      <c r="W182" s="2517"/>
      <c r="Y182" s="1283"/>
      <c r="Z182" s="1283"/>
      <c r="AA182" s="1283"/>
      <c r="AB182" s="1283"/>
      <c r="AC182" s="1283"/>
      <c r="AD182" s="1283"/>
      <c r="AE182" s="1283"/>
      <c r="AF182" s="1283"/>
      <c r="AG182" s="1283"/>
      <c r="AH182" s="1283"/>
      <c r="AI182" s="1283"/>
      <c r="AJ182" s="1283"/>
      <c r="AK182" s="1283"/>
      <c r="AL182" s="1860"/>
      <c r="AM182" s="1860"/>
      <c r="AN182" s="1283"/>
      <c r="AO182" s="1283"/>
      <c r="AP182" s="1283"/>
      <c r="AQ182" s="1283"/>
    </row>
    <row s="1869" customFormat="1" customHeight="1" ht="17.25">
      <c r="A183" s="1856"/>
      <c r="C183" s="1861"/>
      <c r="D183" s="1846"/>
      <c r="E183" s="1863"/>
      <c r="F183" s="1800"/>
      <c r="G183" s="1864"/>
      <c r="H183" s="2545"/>
      <c r="I183" s="2545"/>
      <c r="J183" s="2517"/>
      <c r="K183" s="2202"/>
      <c r="L183" s="2124"/>
      <c r="M183" s="2124"/>
      <c r="N183" s="2520"/>
      <c r="O183" s="2202"/>
      <c r="P183" s="2124"/>
      <c r="Q183" s="2124"/>
      <c r="R183" s="2518"/>
      <c r="S183" s="2422"/>
      <c r="T183" s="1451"/>
      <c r="U183" s="1452"/>
      <c r="V183" s="1452"/>
      <c r="W183" s="2517"/>
      <c r="Y183" s="1275"/>
      <c r="Z183" s="1275"/>
      <c r="AA183" s="1275"/>
      <c r="AB183" s="1275"/>
      <c r="AC183" s="1275"/>
      <c r="AD183" s="1275"/>
      <c r="AE183" s="1275"/>
      <c r="AF183" s="1275"/>
      <c r="AG183" s="1275"/>
      <c r="AH183" s="1275"/>
      <c r="AI183" s="1275"/>
      <c r="AJ183" s="1275"/>
      <c r="AK183" s="1275"/>
    </row>
    <row s="1869" customFormat="1" customHeight="1" ht="17.25">
      <c r="A184" s="1856"/>
      <c r="C184" s="1861"/>
      <c r="D184" s="1846"/>
      <c r="E184" s="1863"/>
      <c r="F184" s="1800"/>
      <c r="G184" s="1864"/>
      <c r="H184" s="2519"/>
      <c r="I184" s="2519"/>
      <c r="J184" s="2549"/>
      <c r="K184" s="2202"/>
      <c r="L184" s="2519"/>
      <c r="M184" s="2519"/>
      <c r="N184" s="2521"/>
      <c r="O184" s="2128"/>
      <c r="P184" s="333"/>
      <c r="Q184" s="334"/>
      <c r="R184" s="334" t="s">
        <v>269</v>
      </c>
      <c r="S184" s="1862"/>
      <c r="T184" s="1862"/>
      <c r="U184" s="1862"/>
      <c r="V184" s="1862"/>
      <c r="W184" s="1449"/>
      <c r="Y184" s="1275"/>
      <c r="Z184" s="1275"/>
      <c r="AA184" s="1275"/>
      <c r="AB184" s="1275"/>
      <c r="AC184" s="1275"/>
      <c r="AD184" s="1275"/>
      <c r="AE184" s="1275"/>
      <c r="AF184" s="1275"/>
      <c r="AG184" s="1275"/>
      <c r="AH184" s="1275"/>
      <c r="AI184" s="1275"/>
      <c r="AJ184" s="1275"/>
      <c r="AK184" s="1275"/>
    </row>
    <row s="1869" customFormat="1" customHeight="1" ht="17.25">
      <c r="A185" s="1856"/>
      <c r="C185" s="1861"/>
      <c r="D185" s="1846"/>
      <c r="E185" s="1863"/>
      <c r="F185" s="1800"/>
      <c r="G185" s="1864"/>
      <c r="H185" s="2519"/>
      <c r="I185" s="2519"/>
      <c r="J185" s="2549"/>
      <c r="K185" s="2128"/>
      <c r="L185" s="333"/>
      <c r="M185" s="334"/>
      <c r="N185" s="334" t="s">
        <v>330</v>
      </c>
      <c r="O185" s="334"/>
      <c r="P185" s="334"/>
      <c r="Q185" s="334"/>
      <c r="R185" s="334"/>
      <c r="S185" s="1862"/>
      <c r="T185" s="1862"/>
      <c r="U185" s="1862"/>
      <c r="V185" s="1862"/>
      <c r="W185" s="335"/>
      <c r="Y185" s="1275"/>
      <c r="Z185" s="1275"/>
      <c r="AA185" s="1275"/>
      <c r="AB185" s="1275"/>
      <c r="AC185" s="1275"/>
      <c r="AD185" s="1275"/>
      <c r="AE185" s="1275"/>
      <c r="AF185" s="1275"/>
      <c r="AG185" s="1275"/>
      <c r="AH185" s="1275"/>
      <c r="AI185" s="1275"/>
      <c r="AJ185" s="1275"/>
      <c r="AK185" s="1275"/>
    </row>
    <row customHeight="1" ht="17.25">
      <c r="A186" s="1866"/>
    </row>
    <row s="1869" customFormat="1" customHeight="1" ht="17.25">
      <c r="A187" s="1856"/>
      <c r="C187" s="1858"/>
      <c r="D187" s="1846"/>
      <c r="E187" s="1863"/>
      <c r="F187" s="1800"/>
      <c r="G187" s="1864"/>
      <c r="H187" s="1846"/>
      <c r="I187" s="1846"/>
      <c r="J187" s="1867"/>
      <c r="K187" s="1864"/>
      <c r="L187" s="2124"/>
      <c r="M187" s="2124" t="s">
        <v>141</v>
      </c>
      <c r="N187" s="2520" t="str">
        <f>IF(Z187="","",INDEX(TERRITORY_MR_LIST,MATCH(Z187,TERRITORY_LIST_ID,0)))</f>
        <v/>
      </c>
      <c r="O187" s="2201" t="s">
        <v>64</v>
      </c>
      <c r="P187" s="2124"/>
      <c r="Q187" s="2124" t="s">
        <v>141</v>
      </c>
      <c r="R187" s="2518" t="s">
        <v>28</v>
      </c>
      <c r="S187" s="2422" t="s">
        <v>19</v>
      </c>
      <c r="T187" s="1818"/>
      <c r="U187" s="1818" t="s">
        <v>141</v>
      </c>
      <c r="V187" s="1450"/>
      <c r="W187" s="2517"/>
      <c r="Y187" s="1283"/>
      <c r="Z187" s="1283"/>
      <c r="AA187" s="1283"/>
      <c r="AB187" s="1283"/>
      <c r="AC187" s="1283"/>
      <c r="AD187" s="1283"/>
      <c r="AE187" s="1283"/>
      <c r="AF187" s="1283"/>
      <c r="AG187" s="1283"/>
      <c r="AH187" s="1283"/>
      <c r="AI187" s="1283"/>
      <c r="AJ187" s="1283"/>
      <c r="AK187" s="1283"/>
      <c r="AL187" s="1860"/>
      <c r="AM187" s="1860"/>
      <c r="AN187" s="1283"/>
      <c r="AO187" s="1283"/>
      <c r="AP187" s="1283"/>
      <c r="AQ187" s="1283"/>
    </row>
    <row s="1869" customFormat="1" customHeight="1" ht="17.25">
      <c r="A188" s="1856"/>
      <c r="C188" s="1861"/>
      <c r="D188" s="1846"/>
      <c r="E188" s="1863"/>
      <c r="F188" s="1800"/>
      <c r="G188" s="1864"/>
      <c r="H188" s="1846"/>
      <c r="I188" s="1846"/>
      <c r="J188" s="1867"/>
      <c r="K188" s="1864"/>
      <c r="L188" s="2124"/>
      <c r="M188" s="2124"/>
      <c r="N188" s="2520"/>
      <c r="O188" s="2202"/>
      <c r="P188" s="2124"/>
      <c r="Q188" s="2124"/>
      <c r="R188" s="2518"/>
      <c r="S188" s="2422"/>
      <c r="T188" s="1451"/>
      <c r="U188" s="1452"/>
      <c r="V188" s="1452"/>
      <c r="W188" s="2517"/>
      <c r="Y188" s="1275"/>
      <c r="Z188" s="1275"/>
      <c r="AA188" s="1275"/>
      <c r="AB188" s="1275"/>
      <c r="AC188" s="1275"/>
      <c r="AD188" s="1275"/>
      <c r="AE188" s="1275"/>
      <c r="AF188" s="1275"/>
      <c r="AG188" s="1275"/>
      <c r="AH188" s="1275"/>
      <c r="AI188" s="1275"/>
      <c r="AJ188" s="1275"/>
      <c r="AK188" s="1275"/>
    </row>
    <row s="1869" customFormat="1" customHeight="1" ht="17.25">
      <c r="A189" s="1856"/>
      <c r="C189" s="1861"/>
      <c r="D189" s="1846"/>
      <c r="E189" s="1863"/>
      <c r="F189" s="1800"/>
      <c r="G189" s="1864"/>
      <c r="H189" s="1846"/>
      <c r="I189" s="1846"/>
      <c r="J189" s="1867"/>
      <c r="K189" s="1864"/>
      <c r="L189" s="2519"/>
      <c r="M189" s="2519"/>
      <c r="N189" s="2521"/>
      <c r="O189" s="2128"/>
      <c r="P189" s="333"/>
      <c r="Q189" s="334"/>
      <c r="R189" s="334" t="s">
        <v>269</v>
      </c>
      <c r="S189" s="1862"/>
      <c r="T189" s="1862"/>
      <c r="U189" s="1862"/>
      <c r="V189" s="1862"/>
      <c r="W189" s="1449"/>
      <c r="Y189" s="1275"/>
      <c r="Z189" s="1275"/>
      <c r="AA189" s="1275"/>
      <c r="AB189" s="1275"/>
      <c r="AC189" s="1275"/>
      <c r="AD189" s="1275"/>
      <c r="AE189" s="1275"/>
      <c r="AF189" s="1275"/>
      <c r="AG189" s="1275"/>
      <c r="AH189" s="1275"/>
      <c r="AI189" s="1275"/>
      <c r="AJ189" s="1275"/>
      <c r="AK189" s="1275"/>
    </row>
    <row customHeight="1" ht="17.25">
      <c r="A190" s="1866"/>
    </row>
    <row s="1869" customFormat="1" customHeight="1" ht="17.25">
      <c r="A191" s="1856"/>
      <c r="C191" s="1858"/>
      <c r="D191" s="1846"/>
      <c r="E191" s="1863"/>
      <c r="F191" s="1800"/>
      <c r="G191" s="1864"/>
      <c r="H191" s="1846"/>
      <c r="I191" s="1846"/>
      <c r="J191" s="1867"/>
      <c r="K191" s="1864"/>
      <c r="L191" s="1846"/>
      <c r="M191" s="1846"/>
      <c r="N191" s="2064"/>
      <c r="O191" s="1803"/>
      <c r="P191" s="2124"/>
      <c r="Q191" s="2124" t="s">
        <v>141</v>
      </c>
      <c r="R191" s="2518" t="s">
        <v>28</v>
      </c>
      <c r="S191" s="2422" t="s">
        <v>19</v>
      </c>
      <c r="T191" s="1818"/>
      <c r="U191" s="1818" t="s">
        <v>141</v>
      </c>
      <c r="V191" s="1450"/>
      <c r="W191" s="2517"/>
      <c r="Y191" s="1283"/>
      <c r="Z191" s="1283"/>
      <c r="AA191" s="1283"/>
      <c r="AB191" s="1283"/>
      <c r="AC191" s="1283"/>
      <c r="AD191" s="1283"/>
      <c r="AE191" s="1283"/>
      <c r="AF191" s="1283"/>
      <c r="AG191" s="1283"/>
      <c r="AH191" s="1283"/>
      <c r="AI191" s="1283"/>
      <c r="AJ191" s="1283"/>
      <c r="AK191" s="1283"/>
      <c r="AL191" s="1860"/>
      <c r="AM191" s="1860"/>
      <c r="AN191" s="1283"/>
      <c r="AO191" s="1283"/>
      <c r="AP191" s="1283"/>
      <c r="AQ191" s="1283"/>
    </row>
    <row s="1869" customFormat="1" customHeight="1" ht="17.25">
      <c r="A192" s="1856"/>
      <c r="C192" s="1861"/>
      <c r="D192" s="1846"/>
      <c r="E192" s="1863"/>
      <c r="F192" s="1800"/>
      <c r="G192" s="1864"/>
      <c r="H192" s="1846"/>
      <c r="I192" s="1846"/>
      <c r="J192" s="1867"/>
      <c r="K192" s="1864"/>
      <c r="L192" s="1846"/>
      <c r="M192" s="1846"/>
      <c r="N192" s="2064"/>
      <c r="O192" s="1803"/>
      <c r="P192" s="2124"/>
      <c r="Q192" s="2124"/>
      <c r="R192" s="2518"/>
      <c r="S192" s="2422"/>
      <c r="T192" s="1451"/>
      <c r="U192" s="1452"/>
      <c r="V192" s="1452"/>
      <c r="W192" s="2517"/>
      <c r="Y192" s="1275"/>
      <c r="Z192" s="1275"/>
      <c r="AA192" s="1275"/>
      <c r="AB192" s="1275"/>
      <c r="AC192" s="1275"/>
      <c r="AD192" s="1275"/>
      <c r="AE192" s="1275"/>
      <c r="AF192" s="1275"/>
      <c r="AG192" s="1275"/>
      <c r="AH192" s="1275"/>
      <c r="AI192" s="1275"/>
      <c r="AJ192" s="1275"/>
      <c r="AK192" s="1275"/>
    </row>
    <row customHeight="1" ht="17.25">
      <c r="A193" s="1866"/>
    </row>
    <row customHeight="1" ht="16.5">
      <c r="A194" s="1856"/>
      <c r="B194" s="1857"/>
      <c r="C194" s="1861"/>
      <c r="D194" s="2569"/>
      <c r="E194" s="2195"/>
      <c r="F194" s="2195"/>
      <c r="G194" s="2143"/>
      <c r="H194" s="2570"/>
      <c r="I194" s="2583"/>
      <c r="J194" s="2168"/>
      <c r="K194" s="2153"/>
      <c r="L194" s="2153"/>
      <c r="M194" s="2153"/>
      <c r="N194" s="2581"/>
      <c r="O194" s="2153"/>
      <c r="P194" s="2153"/>
      <c r="Q194" s="2153"/>
      <c r="R194" s="2579"/>
      <c r="S194" s="2153"/>
      <c r="T194" s="1799"/>
      <c r="U194" s="1799"/>
      <c r="V194" s="1868"/>
      <c r="W194" s="1312"/>
    </row>
    <row customHeight="1" ht="16.5">
      <c r="A195" s="1856"/>
      <c r="B195" s="1857"/>
      <c r="C195" s="1861"/>
      <c r="D195" s="2569"/>
      <c r="E195" s="2195"/>
      <c r="F195" s="2195"/>
      <c r="G195" s="2143"/>
      <c r="H195" s="2571"/>
      <c r="I195" s="2584"/>
      <c r="J195" s="2169"/>
      <c r="K195" s="2154"/>
      <c r="L195" s="2154"/>
      <c r="M195" s="2154"/>
      <c r="N195" s="2582"/>
      <c r="O195" s="2154"/>
      <c r="P195" s="2154"/>
      <c r="Q195" s="2154"/>
      <c r="R195" s="2580"/>
      <c r="S195" s="2154"/>
      <c r="T195" s="1313"/>
      <c r="U195" s="1313"/>
      <c r="V195" s="1313"/>
      <c r="W195" s="1314"/>
    </row>
    <row customHeight="1" ht="17.25">
      <c r="A196" s="1856"/>
      <c r="B196" s="1857"/>
      <c r="C196" s="1861"/>
      <c r="D196" s="2569"/>
      <c r="E196" s="2195"/>
      <c r="F196" s="2195"/>
      <c r="G196" s="2143"/>
      <c r="H196" s="2571"/>
      <c r="I196" s="2584"/>
      <c r="J196" s="2572"/>
      <c r="K196" s="2154"/>
      <c r="L196" s="2154"/>
      <c r="M196" s="2154"/>
      <c r="N196" s="2580"/>
      <c r="O196" s="2154"/>
      <c r="P196" s="1802"/>
      <c r="Q196" s="1313"/>
      <c r="R196" s="1313"/>
      <c r="S196" s="1869"/>
      <c r="T196" s="1869"/>
      <c r="U196" s="1869"/>
      <c r="V196" s="1869"/>
      <c r="W196" s="1314"/>
    </row>
    <row customHeight="1" ht="17.25">
      <c r="A197" s="1856"/>
      <c r="B197" s="1857"/>
      <c r="C197" s="1861"/>
      <c r="D197" s="2569"/>
      <c r="E197" s="2195"/>
      <c r="F197" s="2195"/>
      <c r="G197" s="2143"/>
      <c r="H197" s="2571"/>
      <c r="I197" s="2584"/>
      <c r="J197" s="2572"/>
      <c r="K197" s="2154"/>
      <c r="L197" s="1313"/>
      <c r="M197" s="1313"/>
      <c r="N197" s="1313"/>
      <c r="O197" s="1313"/>
      <c r="P197" s="1313"/>
      <c r="Q197" s="1313"/>
      <c r="R197" s="1313"/>
      <c r="S197" s="1869"/>
      <c r="T197" s="1869"/>
      <c r="U197" s="1869"/>
      <c r="V197" s="1869"/>
      <c r="W197" s="1314"/>
    </row>
    <row customHeight="1" ht="17.25">
      <c r="A198" s="1856"/>
      <c r="B198" s="1857"/>
      <c r="C198" s="1861"/>
      <c r="D198" s="2569"/>
      <c r="E198" s="2195"/>
      <c r="F198" s="2195"/>
      <c r="G198" s="2143"/>
      <c r="H198" s="1315"/>
      <c r="I198" s="1316"/>
      <c r="J198" s="1316"/>
      <c r="K198" s="1316"/>
      <c r="L198" s="1316"/>
      <c r="M198" s="1316"/>
      <c r="N198" s="1316"/>
      <c r="O198" s="1316"/>
      <c r="P198" s="1316"/>
      <c r="Q198" s="1316"/>
      <c r="R198" s="1316"/>
      <c r="S198" s="1870"/>
      <c r="T198" s="1870"/>
      <c r="U198" s="1870"/>
      <c r="V198" s="1870"/>
      <c r="W198" s="1318"/>
    </row>
    <row r="200" s="1831" customFormat="1" customHeight="1" ht="17.25">
      <c r="A200" s="1831" t="s">
        <v>2087</v>
      </c>
    </row>
    <row customHeight="1" ht="17.25">
      <c r="G201" s="1855"/>
      <c r="H201" s="1855"/>
      <c r="I201" s="1855"/>
      <c r="M201" s="1851"/>
    </row>
    <row s="1866" customFormat="1" customHeight="1" ht="15">
      <c r="D202" s="2539"/>
      <c r="E202" s="2215"/>
      <c r="F202" s="2215"/>
      <c r="G202" s="2201"/>
      <c r="H202" s="1580"/>
      <c r="I202" s="2543">
        <v>1</v>
      </c>
      <c r="J202" s="2517"/>
      <c r="K202" s="1595"/>
      <c r="L202" s="2201" t="s">
        <v>64</v>
      </c>
      <c r="M202" s="2201" t="s">
        <v>64</v>
      </c>
      <c r="N202" s="1580"/>
      <c r="O202" s="2124" t="s">
        <v>141</v>
      </c>
      <c r="P202" s="2533"/>
      <c r="Q202" s="1596"/>
      <c r="R202" s="2201" t="s">
        <v>64</v>
      </c>
      <c r="S202" s="2201" t="s">
        <v>64</v>
      </c>
      <c r="T202" s="1871"/>
      <c r="U202" s="2124" t="s">
        <v>141</v>
      </c>
      <c r="V202" s="2540" t="str">
        <f>IF(AK202="","",INDEX(TERRITORY_MR_LIST,MATCH(AK202,TERRITORY_LIST_ID,0)))</f>
        <v/>
      </c>
      <c r="W202" s="1597"/>
      <c r="X202" s="2201" t="s">
        <v>64</v>
      </c>
      <c r="Y202" s="2201" t="s">
        <v>19</v>
      </c>
      <c r="Z202" s="1580"/>
      <c r="AA202" s="2124" t="s">
        <v>141</v>
      </c>
      <c r="AB202" s="2542"/>
      <c r="AC202" s="1598"/>
      <c r="AD202" s="2201" t="s">
        <v>64</v>
      </c>
      <c r="AE202" s="2201" t="s">
        <v>19</v>
      </c>
      <c r="AF202" s="1578"/>
      <c r="AG202" s="1827" t="s">
        <v>141</v>
      </c>
      <c r="AH202" s="1588"/>
      <c r="AI202" s="1817"/>
    </row>
    <row s="1866" customFormat="1" customHeight="1" ht="15">
      <c r="D203" s="2539"/>
      <c r="E203" s="2215"/>
      <c r="F203" s="2215"/>
      <c r="G203" s="2202"/>
      <c r="H203" s="1580"/>
      <c r="I203" s="2543"/>
      <c r="J203" s="2517"/>
      <c r="K203" s="1579"/>
      <c r="L203" s="2202"/>
      <c r="M203" s="2202"/>
      <c r="N203" s="1580"/>
      <c r="O203" s="2124"/>
      <c r="P203" s="2533"/>
      <c r="Q203" s="1576"/>
      <c r="R203" s="2202"/>
      <c r="S203" s="2202"/>
      <c r="T203" s="1871"/>
      <c r="U203" s="2124"/>
      <c r="V203" s="2541"/>
      <c r="W203" s="1577"/>
      <c r="X203" s="2202"/>
      <c r="Y203" s="2202"/>
      <c r="Z203" s="1580"/>
      <c r="AA203" s="2124"/>
      <c r="AB203" s="2511"/>
      <c r="AC203" s="1581"/>
      <c r="AD203" s="2128"/>
      <c r="AE203" s="2128"/>
      <c r="AF203" s="1582"/>
      <c r="AG203" s="1583"/>
      <c r="AH203" s="2534" t="s">
        <v>2088</v>
      </c>
      <c r="AI203" s="2535"/>
    </row>
    <row s="1866" customFormat="1" customHeight="1" ht="15">
      <c r="D204" s="2539"/>
      <c r="E204" s="2215"/>
      <c r="F204" s="2215"/>
      <c r="G204" s="2202"/>
      <c r="H204" s="1580"/>
      <c r="I204" s="2543"/>
      <c r="J204" s="2517"/>
      <c r="K204" s="1579"/>
      <c r="L204" s="2202"/>
      <c r="M204" s="2202"/>
      <c r="N204" s="1580"/>
      <c r="O204" s="2124"/>
      <c r="P204" s="2533"/>
      <c r="Q204" s="1576"/>
      <c r="R204" s="2202"/>
      <c r="S204" s="2202"/>
      <c r="T204" s="1871"/>
      <c r="U204" s="2124"/>
      <c r="V204" s="2541"/>
      <c r="W204" s="1577"/>
      <c r="X204" s="2202"/>
      <c r="Y204" s="2202"/>
      <c r="Z204" s="1619"/>
      <c r="AA204" s="1585"/>
      <c r="AB204" s="2536" t="s">
        <v>2089</v>
      </c>
      <c r="AC204" s="2536"/>
      <c r="AD204" s="2536"/>
      <c r="AE204" s="2536"/>
      <c r="AF204" s="2536"/>
      <c r="AG204" s="2536"/>
      <c r="AH204" s="2536"/>
      <c r="AI204" s="2537"/>
    </row>
    <row s="1866" customFormat="1" customHeight="1" ht="15">
      <c r="D205" s="2539"/>
      <c r="E205" s="2215"/>
      <c r="F205" s="2215"/>
      <c r="G205" s="2202"/>
      <c r="H205" s="1580"/>
      <c r="I205" s="2543"/>
      <c r="J205" s="2517"/>
      <c r="K205" s="1579"/>
      <c r="L205" s="2202"/>
      <c r="M205" s="2202"/>
      <c r="N205" s="1580"/>
      <c r="O205" s="2124"/>
      <c r="P205" s="2538"/>
      <c r="Q205" s="1576"/>
      <c r="R205" s="2202"/>
      <c r="S205" s="2202"/>
      <c r="T205" s="1872"/>
      <c r="U205" s="1620"/>
      <c r="V205" s="2534" t="s">
        <v>176</v>
      </c>
      <c r="W205" s="2534"/>
      <c r="X205" s="2534"/>
      <c r="Y205" s="2534"/>
      <c r="Z205" s="2534"/>
      <c r="AA205" s="2534"/>
      <c r="AB205" s="2534"/>
      <c r="AC205" s="2534"/>
      <c r="AD205" s="2534"/>
      <c r="AE205" s="2534"/>
      <c r="AF205" s="2534"/>
      <c r="AG205" s="2534"/>
      <c r="AH205" s="2534"/>
      <c r="AI205" s="2535"/>
    </row>
    <row s="1866" customFormat="1" customHeight="1" ht="11.25">
      <c r="D206" s="2539"/>
      <c r="E206" s="2215"/>
      <c r="F206" s="2215"/>
      <c r="G206" s="2202"/>
      <c r="H206" s="1584"/>
      <c r="I206" s="2543"/>
      <c r="J206" s="2544"/>
      <c r="K206" s="1579"/>
      <c r="L206" s="2202"/>
      <c r="M206" s="2202"/>
      <c r="N206" s="1584"/>
      <c r="O206" s="1585"/>
      <c r="P206" s="2534" t="s">
        <v>2090</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s="1570" customFormat="1" customHeight="1" ht="11.25">
      <c r="D207" s="2539"/>
      <c r="E207" s="2215"/>
      <c r="F207" s="2215"/>
      <c r="G207" s="2128"/>
      <c r="H207" s="1586"/>
      <c r="I207" s="1587"/>
      <c r="J207" s="2534" t="s">
        <v>356</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90"/>
    </row>
    <row customHeight="1" ht="17.25">
      <c r="G208" s="1855"/>
      <c r="I208" s="1855"/>
      <c r="J208" s="1855"/>
      <c r="N208" s="1851"/>
    </row>
    <row s="1866" customFormat="1" customHeight="1" ht="15">
      <c r="D209" s="2539"/>
      <c r="E209" s="2215"/>
      <c r="F209" s="2215"/>
      <c r="G209" s="2195"/>
      <c r="H209" s="1615"/>
      <c r="I209" s="2197"/>
      <c r="J209" s="2168"/>
      <c r="K209" s="1801"/>
      <c r="L209" s="2153"/>
      <c r="M209" s="2153"/>
      <c r="N209" s="1600"/>
      <c r="O209" s="2153"/>
      <c r="P209" s="2168"/>
      <c r="Q209" s="1805"/>
      <c r="R209" s="2153"/>
      <c r="S209" s="2153"/>
      <c r="T209" s="1873"/>
      <c r="U209" s="2153"/>
      <c r="V209" s="2168"/>
      <c r="W209" s="1603"/>
      <c r="X209" s="2153"/>
      <c r="Y209" s="2153"/>
      <c r="Z209" s="1600"/>
      <c r="AA209" s="2153"/>
      <c r="AB209" s="2168"/>
      <c r="AC209" s="1604"/>
      <c r="AD209" s="2153"/>
      <c r="AE209" s="2153"/>
      <c r="AF209" s="1799"/>
      <c r="AG209" s="1799"/>
      <c r="AH209" s="1605"/>
      <c r="AI209" s="1312"/>
    </row>
    <row s="1866" customFormat="1" customHeight="1" ht="15">
      <c r="D210" s="2539"/>
      <c r="E210" s="2215"/>
      <c r="F210" s="2215"/>
      <c r="G210" s="2195"/>
      <c r="H210" s="1616"/>
      <c r="I210" s="2198"/>
      <c r="J210" s="2169"/>
      <c r="K210" s="1626"/>
      <c r="L210" s="2154"/>
      <c r="M210" s="2154"/>
      <c r="N210" s="1606"/>
      <c r="O210" s="2154"/>
      <c r="P210" s="2169"/>
      <c r="Q210" s="1806"/>
      <c r="R210" s="2154"/>
      <c r="S210" s="2154"/>
      <c r="T210" s="1874"/>
      <c r="U210" s="2154"/>
      <c r="V210" s="2169"/>
      <c r="W210" s="1609"/>
      <c r="X210" s="2154"/>
      <c r="Y210" s="2154"/>
      <c r="Z210" s="1606"/>
      <c r="AA210" s="2154"/>
      <c r="AB210" s="2169"/>
      <c r="AC210" s="1610"/>
      <c r="AD210" s="2154"/>
      <c r="AE210" s="2154"/>
      <c r="AF210" s="1804"/>
      <c r="AG210" s="1804"/>
      <c r="AH210" s="2193"/>
      <c r="AI210" s="2194"/>
    </row>
    <row s="1866" customFormat="1" customHeight="1" ht="15">
      <c r="D211" s="2539"/>
      <c r="E211" s="2215"/>
      <c r="F211" s="2215"/>
      <c r="G211" s="2195"/>
      <c r="H211" s="1616"/>
      <c r="I211" s="2198"/>
      <c r="J211" s="2169"/>
      <c r="K211" s="1626"/>
      <c r="L211" s="2154"/>
      <c r="M211" s="2154"/>
      <c r="N211" s="1606"/>
      <c r="O211" s="2154"/>
      <c r="P211" s="2169"/>
      <c r="Q211" s="1806"/>
      <c r="R211" s="2154"/>
      <c r="S211" s="2154"/>
      <c r="T211" s="1874"/>
      <c r="U211" s="2154"/>
      <c r="V211" s="2169"/>
      <c r="W211" s="1609"/>
      <c r="X211" s="2154"/>
      <c r="Y211" s="2154"/>
      <c r="Z211" s="1802"/>
      <c r="AA211" s="1804"/>
      <c r="AB211" s="2193"/>
      <c r="AC211" s="2193"/>
      <c r="AD211" s="2193"/>
      <c r="AE211" s="2193"/>
      <c r="AF211" s="2193"/>
      <c r="AG211" s="2193"/>
      <c r="AH211" s="2193"/>
      <c r="AI211" s="2194"/>
    </row>
    <row s="1866" customFormat="1" customHeight="1" ht="15">
      <c r="D212" s="2539"/>
      <c r="E212" s="2215"/>
      <c r="F212" s="2215"/>
      <c r="G212" s="2195"/>
      <c r="H212" s="1616"/>
      <c r="I212" s="2198"/>
      <c r="J212" s="2169"/>
      <c r="K212" s="1626"/>
      <c r="L212" s="2154"/>
      <c r="M212" s="2154"/>
      <c r="N212" s="1606"/>
      <c r="O212" s="2154"/>
      <c r="P212" s="2169"/>
      <c r="Q212" s="1806"/>
      <c r="R212" s="2154"/>
      <c r="S212" s="2154"/>
      <c r="T212" s="1875"/>
      <c r="U212" s="1613"/>
      <c r="V212" s="2193"/>
      <c r="W212" s="2193"/>
      <c r="X212" s="2193"/>
      <c r="Y212" s="2193"/>
      <c r="Z212" s="2193"/>
      <c r="AA212" s="2193"/>
      <c r="AB212" s="2193"/>
      <c r="AC212" s="2193"/>
      <c r="AD212" s="2193"/>
      <c r="AE212" s="2193"/>
      <c r="AF212" s="2193"/>
      <c r="AG212" s="2193"/>
      <c r="AH212" s="2193"/>
      <c r="AI212" s="2194"/>
    </row>
    <row s="1866" customFormat="1" customHeight="1" ht="11.25">
      <c r="D213" s="2539"/>
      <c r="E213" s="2215"/>
      <c r="F213" s="2215"/>
      <c r="G213" s="2195"/>
      <c r="H213" s="1617"/>
      <c r="I213" s="2198"/>
      <c r="J213" s="2169"/>
      <c r="K213" s="1626"/>
      <c r="L213" s="2154"/>
      <c r="M213" s="2154"/>
      <c r="N213" s="1804"/>
      <c r="O213" s="1804"/>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s="1570" customFormat="1" customHeight="1" ht="11.25">
      <c r="D214" s="2539"/>
      <c r="E214" s="2215"/>
      <c r="F214" s="2215"/>
      <c r="G214" s="2200"/>
      <c r="H214" s="1614"/>
      <c r="I214" s="1618"/>
      <c r="J214" s="2203"/>
      <c r="K214" s="2203"/>
      <c r="L214" s="2203"/>
      <c r="M214" s="2203"/>
      <c r="N214" s="2203"/>
      <c r="O214" s="2203"/>
      <c r="P214" s="2203"/>
      <c r="Q214" s="2203"/>
      <c r="R214" s="2203"/>
      <c r="S214" s="2203"/>
      <c r="T214" s="2203"/>
      <c r="U214" s="2203"/>
      <c r="V214" s="2203"/>
      <c r="W214" s="2203"/>
      <c r="X214" s="2203"/>
      <c r="Y214" s="2203"/>
      <c r="Z214" s="2203"/>
      <c r="AA214" s="2203"/>
      <c r="AB214" s="2203"/>
      <c r="AC214" s="2203"/>
      <c r="AD214" s="2203"/>
      <c r="AE214" s="2203"/>
      <c r="AF214" s="2203"/>
      <c r="AG214" s="2203"/>
      <c r="AH214" s="2203"/>
      <c r="AI214" s="2204"/>
      <c r="BK214" s="1590"/>
    </row>
    <row customHeight="1" ht="17.25">
      <c r="A215" s="186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991EA-D1AD-BDAD-08FD-75D7E0C81C7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6" width="43.140625"/>
    <col min="2" max="2" style="856" width="43.140625" hidden="1"/>
    <col min="3" max="3" style="856" width="43.140625"/>
    <col min="4" max="5" style="856" width="36.421875" customWidth="1"/>
    <col min="6" max="8" style="997" width="36.421875" customWidth="1"/>
  </cols>
  <sheetData>
    <row customHeight="1" ht="9">
      <c r="A1" s="862" t="s">
        <v>2091</v>
      </c>
      <c r="B1" s="862"/>
      <c r="C1" s="998" t="s">
        <v>2092</v>
      </c>
      <c r="D1" s="996" t="s">
        <v>960</v>
      </c>
      <c r="E1" s="996" t="s">
        <v>1006</v>
      </c>
      <c r="F1" s="996" t="s">
        <v>1059</v>
      </c>
      <c r="G1" s="996" t="s">
        <v>1046</v>
      </c>
      <c r="H1" s="996" t="s">
        <v>1769</v>
      </c>
    </row>
    <row customHeight="1" ht="9">
      <c r="A2" s="999" t="s">
        <v>2093</v>
      </c>
      <c r="B2" s="999"/>
      <c r="C2" s="1000" t="str">
        <f>INDEX(TEMPLATE_NUMBER_FORM_LIST,MATCH(TEMPLATE_SPHERE,TEMPLATE_SPHERE_LIST,0))</f>
        <v>16</v>
      </c>
      <c r="D2" s="999" t="s">
        <v>114</v>
      </c>
      <c r="E2" s="999" t="s">
        <v>144</v>
      </c>
      <c r="F2" s="1001" t="s">
        <v>144</v>
      </c>
      <c r="G2" s="999" t="s">
        <v>144</v>
      </c>
      <c r="H2" s="1002"/>
    </row>
    <row customHeight="1" ht="63">
      <c r="A3" s="862"/>
      <c r="B3" s="862" t="s">
        <v>141</v>
      </c>
      <c r="C3" s="100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00" t="s">
        <v>2094</v>
      </c>
      <c r="E3" s="100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01"/>
      <c r="G3" s="1002"/>
      <c r="H3" s="862"/>
    </row>
    <row customHeight="1" ht="243">
      <c r="A4" s="862" t="s">
        <v>2095</v>
      </c>
      <c r="B4" s="862" t="s">
        <v>107</v>
      </c>
      <c r="C4" s="100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9" t="s">
        <v>2096</v>
      </c>
      <c r="E4" s="100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9"/>
      <c r="G4" s="999"/>
      <c r="H4" s="862" t="s">
        <v>2097</v>
      </c>
    </row>
    <row customHeight="1" ht="117">
      <c r="A5" s="862" t="s">
        <v>2098</v>
      </c>
      <c r="B5" s="862" t="s">
        <v>93</v>
      </c>
      <c r="C5" s="100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2" t="s">
        <v>2099</v>
      </c>
      <c r="E5" s="8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2"/>
      <c r="G5" s="1002"/>
      <c r="H5" s="862" t="s">
        <v>2100</v>
      </c>
    </row>
    <row customHeight="1" ht="90">
      <c r="A6" s="862" t="s">
        <v>2101</v>
      </c>
      <c r="B6" s="862" t="s">
        <v>94</v>
      </c>
      <c r="C6" s="100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2"/>
      <c r="G6" s="862"/>
      <c r="H6" s="1002"/>
    </row>
    <row customHeight="1" ht="45">
      <c r="A7" s="862" t="s">
        <v>2102</v>
      </c>
      <c r="B7" s="862" t="s">
        <v>122</v>
      </c>
      <c r="C7" s="1000" t="str">
        <f>IF(TEMPLATE_SPHERE="HEAT",D7,E7)</f>
        <v>Форма 11. Информация о расходах на капитальный и текущий ремонт основных средств</v>
      </c>
      <c r="D7" s="862" t="s">
        <v>2103</v>
      </c>
      <c r="E7" s="862" t="s">
        <v>2104</v>
      </c>
      <c r="F7" s="1002"/>
      <c r="G7" s="1002"/>
      <c r="H7" s="1002"/>
    </row>
    <row customHeight="1" ht="108">
      <c r="A8" s="862" t="s">
        <v>2105</v>
      </c>
      <c r="B8" s="862" t="s">
        <v>95</v>
      </c>
      <c r="C8" s="100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2" t="s">
        <v>1314</v>
      </c>
      <c r="E8" s="862" t="s">
        <v>2106</v>
      </c>
      <c r="F8" s="1002"/>
      <c r="G8" s="1002"/>
      <c r="H8" s="1002"/>
    </row>
    <row customHeight="1" ht="99">
      <c r="A9" s="862" t="s">
        <v>2107</v>
      </c>
      <c r="B9" s="862"/>
      <c r="C9" s="862" t="s">
        <v>2108</v>
      </c>
      <c r="D9" s="862"/>
      <c r="E9" s="862"/>
      <c r="F9" s="1002"/>
      <c r="G9" s="1002"/>
      <c r="H9" s="1002"/>
    </row>
    <row customHeight="1" ht="126">
      <c r="A10" s="862" t="s">
        <v>2109</v>
      </c>
      <c r="B10" s="862"/>
      <c r="C10" s="862" t="s">
        <v>2110</v>
      </c>
      <c r="D10" s="862"/>
      <c r="E10" s="862"/>
      <c r="F10" s="1002"/>
      <c r="G10" s="1002"/>
      <c r="H10" s="1002"/>
    </row>
    <row customHeight="1" ht="108">
      <c r="A11" s="862" t="s">
        <v>2111</v>
      </c>
      <c r="B11" s="862"/>
      <c r="C11" s="862" t="s">
        <v>2112</v>
      </c>
      <c r="D11" s="862"/>
      <c r="E11" s="862"/>
      <c r="F11" s="1002"/>
      <c r="G11" s="1002"/>
      <c r="H11" s="1002"/>
    </row>
    <row customHeight="1" ht="54">
      <c r="A12" s="862" t="s">
        <v>2113</v>
      </c>
      <c r="B12" s="862"/>
      <c r="C12" s="862" t="s">
        <v>2114</v>
      </c>
      <c r="D12" s="862"/>
      <c r="E12" s="862"/>
      <c r="F12" s="1002"/>
      <c r="G12" s="1002"/>
      <c r="H12" s="1002"/>
    </row>
    <row customHeight="1" ht="45">
      <c r="A13" s="862" t="s">
        <v>2115</v>
      </c>
      <c r="B13" s="862"/>
      <c r="C13" s="862" t="s">
        <v>2116</v>
      </c>
      <c r="D13" s="862"/>
      <c r="E13" s="862"/>
      <c r="F13" s="1002"/>
      <c r="G13" s="1002"/>
      <c r="H13" s="1002"/>
    </row>
    <row customHeight="1" ht="117">
      <c r="A14" s="862" t="s">
        <v>2117</v>
      </c>
      <c r="B14" s="862"/>
      <c r="C14" s="862" t="s">
        <v>2118</v>
      </c>
      <c r="D14" s="862"/>
      <c r="E14" s="862"/>
      <c r="F14" s="1002"/>
      <c r="G14" s="1002"/>
      <c r="H14" s="1002"/>
    </row>
    <row customHeight="1" ht="117">
      <c r="A15" s="862" t="s">
        <v>2119</v>
      </c>
      <c r="B15" s="862"/>
      <c r="C15" s="862" t="s">
        <v>2120</v>
      </c>
      <c r="D15" s="862"/>
      <c r="E15" s="862"/>
      <c r="F15" s="1002"/>
      <c r="G15" s="1002"/>
      <c r="H15" s="1002"/>
    </row>
    <row customHeight="1" ht="63">
      <c r="A16" s="862" t="s">
        <v>2121</v>
      </c>
      <c r="B16" s="862"/>
      <c r="C16" s="862" t="s">
        <v>2122</v>
      </c>
      <c r="D16" s="862"/>
      <c r="E16" s="862"/>
      <c r="F16" s="1002"/>
      <c r="G16" s="1002"/>
      <c r="H16" s="1002"/>
    </row>
    <row customHeight="1" ht="54">
      <c r="A17" s="862" t="s">
        <v>2123</v>
      </c>
      <c r="B17" s="862"/>
      <c r="C17" s="1000" t="s">
        <v>2124</v>
      </c>
      <c r="D17" s="862"/>
      <c r="E17" s="862"/>
      <c r="F17" s="1002"/>
      <c r="G17" s="1002"/>
      <c r="H17" s="1002"/>
    </row>
    <row customHeight="1" ht="27">
      <c r="A18" s="862" t="s">
        <v>2125</v>
      </c>
      <c r="B18" s="862"/>
      <c r="C18" s="1000" t="s">
        <v>2126</v>
      </c>
      <c r="D18" s="862"/>
      <c r="E18" s="862"/>
      <c r="F18" s="1002"/>
      <c r="G18" s="1002"/>
      <c r="H18" s="1002"/>
    </row>
    <row customHeight="1" ht="54">
      <c r="A19" s="862" t="s">
        <v>2127</v>
      </c>
      <c r="B19" s="862"/>
      <c r="C19" s="1000" t="s">
        <v>2128</v>
      </c>
      <c r="D19" s="862"/>
      <c r="E19" s="862"/>
      <c r="F19" s="1002"/>
      <c r="G19" s="1002"/>
      <c r="H19" s="1002"/>
    </row>
    <row customHeight="1" ht="36">
      <c r="A20" s="862" t="s">
        <v>2129</v>
      </c>
      <c r="B20" s="862"/>
      <c r="C20" s="1000" t="s">
        <v>2130</v>
      </c>
      <c r="D20" s="862"/>
      <c r="E20" s="862"/>
      <c r="F20" s="1002"/>
      <c r="G20" s="1002"/>
      <c r="H20" s="1002"/>
    </row>
    <row customHeight="1" ht="36">
      <c r="A21" s="862" t="s">
        <v>2131</v>
      </c>
      <c r="B21" s="862"/>
      <c r="C21" s="1000" t="s">
        <v>2132</v>
      </c>
      <c r="D21" s="862"/>
      <c r="E21" s="862"/>
      <c r="F21" s="1002"/>
      <c r="G21" s="1002"/>
      <c r="H21" s="1002"/>
    </row>
    <row customHeight="1" ht="27">
      <c r="A22" s="862" t="s">
        <v>2133</v>
      </c>
      <c r="B22" s="862"/>
      <c r="C22" s="1000" t="s">
        <v>2134</v>
      </c>
      <c r="D22" s="862"/>
      <c r="E22" s="862"/>
      <c r="F22" s="1002"/>
      <c r="G22" s="1002"/>
      <c r="H22" s="1002"/>
    </row>
    <row customHeight="1" ht="36">
      <c r="A23" s="862" t="s">
        <v>2135</v>
      </c>
      <c r="B23" s="862"/>
      <c r="C23" s="1000" t="s">
        <v>2136</v>
      </c>
      <c r="D23" s="862"/>
      <c r="E23" s="862"/>
      <c r="F23" s="1002"/>
      <c r="G23" s="1002"/>
      <c r="H23" s="1002"/>
    </row>
    <row customHeight="1" ht="28.5">
      <c r="A24" s="862" t="s">
        <v>2137</v>
      </c>
      <c r="B24" s="862"/>
      <c r="C24" s="1000" t="s">
        <v>2138</v>
      </c>
      <c r="D24" s="862"/>
      <c r="E24" s="862"/>
      <c r="F24" s="1002"/>
      <c r="G24" s="1002"/>
      <c r="H24" s="1002"/>
    </row>
    <row customHeight="1" ht="36">
      <c r="A25" s="862" t="s">
        <v>2139</v>
      </c>
      <c r="B25" s="862"/>
      <c r="C25" s="1000" t="s">
        <v>2140</v>
      </c>
      <c r="D25" s="862"/>
      <c r="E25" s="862"/>
      <c r="F25" s="1002"/>
      <c r="G25" s="1002"/>
      <c r="H25" s="1002"/>
    </row>
    <row customHeight="1" ht="27">
      <c r="A26" s="862" t="s">
        <v>2141</v>
      </c>
      <c r="B26" s="862"/>
      <c r="C26" s="1000" t="s">
        <v>2142</v>
      </c>
      <c r="D26" s="862"/>
      <c r="E26" s="862"/>
      <c r="F26" s="1002"/>
      <c r="G26" s="1002"/>
      <c r="H26" s="1002"/>
    </row>
    <row customHeight="1" ht="36">
      <c r="A27" s="862" t="s">
        <v>2143</v>
      </c>
      <c r="B27" s="862"/>
      <c r="C27" s="1000" t="s">
        <v>2144</v>
      </c>
      <c r="D27" s="862"/>
      <c r="E27" s="862"/>
      <c r="F27" s="1002"/>
      <c r="G27" s="1002"/>
      <c r="H27" s="1002"/>
    </row>
    <row customHeight="1" ht="28.5">
      <c r="A28" s="862" t="s">
        <v>2145</v>
      </c>
      <c r="B28" s="862"/>
      <c r="C28" s="1000" t="s">
        <v>2146</v>
      </c>
      <c r="D28" s="862"/>
      <c r="E28" s="862"/>
      <c r="F28" s="1002"/>
      <c r="G28" s="1002"/>
      <c r="H28" s="1002"/>
    </row>
    <row customHeight="1" ht="126">
      <c r="A29" s="862" t="s">
        <v>2147</v>
      </c>
      <c r="B29" s="862" t="s">
        <v>1722</v>
      </c>
      <c r="C29" s="100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2" t="s">
        <v>2148</v>
      </c>
      <c r="E29" s="8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2"/>
      <c r="G29" s="1002"/>
      <c r="H29" s="862" t="s">
        <v>2149</v>
      </c>
    </row>
    <row customHeight="1" ht="36">
      <c r="A30" s="862" t="s">
        <v>2150</v>
      </c>
      <c r="B30" s="862"/>
      <c r="C30" s="100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2" t="s">
        <v>2151</v>
      </c>
      <c r="E30" s="8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2"/>
      <c r="G30" s="1002"/>
      <c r="H30" s="1002"/>
    </row>
    <row customHeight="1" ht="54">
      <c r="A31" s="862" t="s">
        <v>2152</v>
      </c>
      <c r="B31" s="862"/>
      <c r="C31" s="100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2" t="s">
        <v>2153</v>
      </c>
      <c r="E31" s="86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2"/>
      <c r="G31" s="1002"/>
      <c r="H31" s="1002"/>
    </row>
    <row customHeight="1" ht="198">
      <c r="A32" s="862" t="s">
        <v>2154</v>
      </c>
      <c r="B32" s="862"/>
      <c r="C32" s="100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2" t="s">
        <v>2155</v>
      </c>
      <c r="E32" s="8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2"/>
      <c r="G32" s="1002"/>
      <c r="H32" s="862" t="s">
        <v>2156</v>
      </c>
    </row>
    <row customHeight="1" ht="9">
      <c r="A33" s="862"/>
      <c r="B33" s="862"/>
      <c r="C33" s="1000"/>
      <c r="D33" s="862"/>
      <c r="E33" s="862"/>
      <c r="F33" s="1002"/>
      <c r="G33" s="1002"/>
      <c r="H33" s="1002"/>
    </row>
    <row customHeight="1" ht="9">
      <c r="A34" s="862"/>
      <c r="B34" s="862" t="s">
        <v>132</v>
      </c>
      <c r="C34" s="1000">
        <f>INDEX(TEMPLATE_NAME_FORM_LIST,B34,MATCH(TEMPLATE_SPHERE,TEMPLATE_SPHERE_LIST,0))</f>
        <v>0</v>
      </c>
      <c r="D34" s="862"/>
      <c r="E34" s="862"/>
      <c r="F34" s="1002"/>
      <c r="G34" s="1002"/>
      <c r="H34" s="100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A81F94-BCB6-B6E5-D6D6-4F92C72628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6" width="9.140625"/>
    <col min="3" max="7" style="858" width="8.00390625" customWidth="1"/>
    <col min="8" max="12" style="858" width="8.57421875" customWidth="1"/>
    <col min="13" max="14" style="858" width="27.7109375" customWidth="1"/>
    <col min="15" max="19" style="858" width="5.140625" customWidth="1"/>
    <col min="20" max="24" style="858" width="27.7109375" customWidth="1"/>
    <col min="25" max="25" style="1017" width="1.8515625" customWidth="1"/>
    <col min="26" max="26" style="856" width="27.7109375" customWidth="1"/>
    <col min="27" max="27" style="867" width="27.7109375" customWidth="1"/>
    <col min="28" max="29" style="856" width="27.7109375" customWidth="1"/>
    <col min="30" max="30" style="856" width="3.8515625" customWidth="1"/>
    <col min="31" max="34" style="856" width="9.140625"/>
  </cols>
  <sheetData>
    <row s="855" customFormat="1" customHeight="1" ht="18">
      <c r="A1" s="914"/>
      <c r="B1" s="914"/>
      <c r="C1" s="914" t="s">
        <v>2157</v>
      </c>
      <c r="D1" s="914"/>
      <c r="E1" s="914"/>
      <c r="F1" s="914"/>
      <c r="G1" s="914"/>
      <c r="H1" s="914" t="s">
        <v>2158</v>
      </c>
      <c r="I1" s="914"/>
      <c r="J1" s="914"/>
      <c r="K1" s="914"/>
      <c r="L1" s="914"/>
      <c r="M1" s="914" t="s">
        <v>2159</v>
      </c>
      <c r="N1" s="914" t="s">
        <v>2160</v>
      </c>
      <c r="O1" s="2608" t="s">
        <v>2161</v>
      </c>
      <c r="P1" s="2608"/>
      <c r="Q1" s="2608"/>
      <c r="R1" s="2608"/>
      <c r="S1" s="2608"/>
      <c r="T1" s="2608" t="s">
        <v>2159</v>
      </c>
      <c r="U1" s="2608"/>
      <c r="V1" s="2608"/>
      <c r="W1" s="2608"/>
      <c r="X1" s="2608"/>
      <c r="Y1" s="1015"/>
      <c r="Z1" s="2608" t="s">
        <v>2162</v>
      </c>
      <c r="AA1" s="2608"/>
      <c r="AB1" s="2608"/>
      <c r="AC1" s="2608"/>
      <c r="AD1" s="2608"/>
    </row>
    <row customHeight="1" ht="18">
      <c r="A2" s="862"/>
      <c r="B2" s="862"/>
      <c r="C2" s="857" t="s">
        <v>960</v>
      </c>
      <c r="D2" s="857" t="s">
        <v>1006</v>
      </c>
      <c r="E2" s="857" t="s">
        <v>1059</v>
      </c>
      <c r="F2" s="857" t="s">
        <v>1046</v>
      </c>
      <c r="G2" s="857" t="s">
        <v>1769</v>
      </c>
      <c r="H2" s="859"/>
      <c r="I2" s="859"/>
      <c r="J2" s="859"/>
      <c r="K2" s="859"/>
      <c r="L2" s="859"/>
      <c r="M2" s="859"/>
      <c r="N2" s="859"/>
      <c r="O2" s="857" t="s">
        <v>960</v>
      </c>
      <c r="P2" s="857" t="s">
        <v>1006</v>
      </c>
      <c r="Q2" s="857" t="s">
        <v>1046</v>
      </c>
      <c r="R2" s="857" t="s">
        <v>1059</v>
      </c>
      <c r="S2" s="857" t="s">
        <v>1769</v>
      </c>
      <c r="T2" s="857" t="s">
        <v>960</v>
      </c>
      <c r="U2" s="857" t="s">
        <v>1006</v>
      </c>
      <c r="V2" s="857" t="s">
        <v>1046</v>
      </c>
      <c r="W2" s="857" t="s">
        <v>1059</v>
      </c>
      <c r="X2" s="857" t="s">
        <v>1769</v>
      </c>
      <c r="Y2" s="857"/>
      <c r="Z2" s="857" t="s">
        <v>960</v>
      </c>
      <c r="AA2" s="866" t="s">
        <v>1006</v>
      </c>
      <c r="AB2" s="857" t="s">
        <v>1046</v>
      </c>
      <c r="AC2" s="857" t="s">
        <v>1059</v>
      </c>
      <c r="AD2" s="857" t="s">
        <v>1769</v>
      </c>
    </row>
    <row customHeight="1" ht="162">
      <c r="A3" s="861" t="s">
        <v>26</v>
      </c>
      <c r="B3" s="861"/>
      <c r="C3" s="2612" t="s">
        <v>2163</v>
      </c>
      <c r="D3" s="2613"/>
      <c r="E3" s="2613"/>
      <c r="F3" s="2614"/>
      <c r="G3" s="859"/>
      <c r="H3" s="859"/>
      <c r="I3" s="859"/>
      <c r="J3" s="859"/>
      <c r="K3" s="859"/>
      <c r="L3" s="859"/>
      <c r="M3" s="859"/>
      <c r="N3" s="86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9"/>
      <c r="P3" s="859"/>
      <c r="Q3" s="859"/>
      <c r="R3" s="859"/>
      <c r="S3" s="859"/>
      <c r="T3" s="859"/>
      <c r="U3" s="859"/>
      <c r="V3" s="859"/>
      <c r="W3" s="859"/>
      <c r="X3" s="859"/>
      <c r="Y3" s="1016"/>
      <c r="Z3" s="862" t="s">
        <v>2164</v>
      </c>
      <c r="AA3" s="859" t="s">
        <v>2165</v>
      </c>
      <c r="AB3" s="862" t="s">
        <v>2166</v>
      </c>
      <c r="AC3" s="862" t="s">
        <v>2167</v>
      </c>
      <c r="AD3" s="862"/>
      <c r="AG3" s="862"/>
      <c r="AH3" s="862"/>
    </row>
    <row customHeight="1" ht="9">
      <c r="A4" s="861"/>
      <c r="B4" s="861"/>
      <c r="C4" s="859"/>
      <c r="D4" s="859"/>
      <c r="E4" s="859"/>
      <c r="F4" s="859"/>
      <c r="G4" s="859"/>
      <c r="H4" s="859"/>
      <c r="I4" s="859"/>
      <c r="J4" s="859"/>
      <c r="K4" s="859"/>
      <c r="L4" s="859"/>
      <c r="M4" s="859"/>
      <c r="N4" s="859"/>
      <c r="O4" s="859"/>
      <c r="P4" s="859"/>
      <c r="Q4" s="859"/>
      <c r="R4" s="859"/>
      <c r="S4" s="859"/>
      <c r="T4" s="859"/>
      <c r="U4" s="859"/>
      <c r="V4" s="859"/>
      <c r="W4" s="859"/>
      <c r="X4" s="859"/>
      <c r="Y4" s="1016"/>
      <c r="Z4" s="862"/>
      <c r="AA4" s="865"/>
      <c r="AB4" s="862"/>
      <c r="AC4" s="862"/>
      <c r="AD4" s="862"/>
    </row>
    <row customHeight="1" ht="9">
      <c r="A5" s="861"/>
      <c r="B5" s="861"/>
      <c r="C5" s="859"/>
      <c r="D5" s="859"/>
      <c r="E5" s="859"/>
      <c r="F5" s="859"/>
      <c r="G5" s="859"/>
      <c r="H5" s="859"/>
      <c r="I5" s="859"/>
      <c r="J5" s="859"/>
      <c r="K5" s="859"/>
      <c r="L5" s="859"/>
      <c r="M5" s="859"/>
      <c r="N5" s="859"/>
      <c r="O5" s="859"/>
      <c r="P5" s="859"/>
      <c r="Q5" s="859"/>
      <c r="R5" s="859"/>
      <c r="S5" s="859"/>
      <c r="T5" s="859"/>
      <c r="U5" s="859"/>
      <c r="V5" s="859"/>
      <c r="W5" s="859"/>
      <c r="X5" s="859"/>
      <c r="Y5" s="1016"/>
      <c r="Z5" s="862"/>
      <c r="AA5" s="865"/>
      <c r="AB5" s="862"/>
      <c r="AC5" s="862"/>
      <c r="AD5" s="862"/>
    </row>
    <row customHeight="1" ht="9">
      <c r="A6" s="861"/>
      <c r="B6" s="861"/>
      <c r="C6" s="859"/>
      <c r="D6" s="859"/>
      <c r="E6" s="859"/>
      <c r="F6" s="859"/>
      <c r="G6" s="859"/>
      <c r="H6" s="859"/>
      <c r="I6" s="859"/>
      <c r="J6" s="859"/>
      <c r="K6" s="859"/>
      <c r="L6" s="859"/>
      <c r="M6" s="859"/>
      <c r="N6" s="859"/>
      <c r="O6" s="859"/>
      <c r="P6" s="859"/>
      <c r="Q6" s="859"/>
      <c r="R6" s="859"/>
      <c r="S6" s="859"/>
      <c r="T6" s="859"/>
      <c r="U6" s="859"/>
      <c r="V6" s="859"/>
      <c r="W6" s="859"/>
      <c r="X6" s="859"/>
      <c r="Y6" s="1016"/>
      <c r="Z6" s="862"/>
      <c r="AA6" s="865"/>
      <c r="AB6" s="862"/>
      <c r="AC6" s="862"/>
      <c r="AD6" s="862"/>
    </row>
    <row customHeight="1" ht="9">
      <c r="A7" s="861"/>
      <c r="B7" s="861"/>
      <c r="C7" s="859"/>
      <c r="D7" s="859"/>
      <c r="E7" s="859"/>
      <c r="F7" s="859"/>
      <c r="G7" s="859"/>
      <c r="H7" s="859"/>
      <c r="I7" s="859"/>
      <c r="J7" s="859"/>
      <c r="K7" s="859"/>
      <c r="L7" s="859"/>
      <c r="M7" s="859"/>
      <c r="N7" s="859"/>
      <c r="O7" s="859"/>
      <c r="P7" s="859"/>
      <c r="Q7" s="859"/>
      <c r="R7" s="859"/>
      <c r="S7" s="859"/>
      <c r="T7" s="859"/>
      <c r="U7" s="859"/>
      <c r="V7" s="859"/>
      <c r="W7" s="859"/>
      <c r="X7" s="859"/>
      <c r="Y7" s="1016"/>
      <c r="Z7" s="862"/>
      <c r="AA7" s="865"/>
      <c r="AB7" s="862"/>
      <c r="AC7" s="862"/>
      <c r="AD7" s="862"/>
    </row>
    <row customHeight="1" ht="9">
      <c r="A8" s="861"/>
      <c r="B8" s="861"/>
      <c r="C8" s="859"/>
      <c r="D8" s="859"/>
      <c r="E8" s="859"/>
      <c r="F8" s="859"/>
      <c r="G8" s="859"/>
      <c r="H8" s="859"/>
      <c r="I8" s="859"/>
      <c r="J8" s="859"/>
      <c r="K8" s="859"/>
      <c r="L8" s="859"/>
      <c r="M8" s="859"/>
      <c r="N8" s="859"/>
      <c r="O8" s="859"/>
      <c r="P8" s="859"/>
      <c r="Q8" s="859"/>
      <c r="R8" s="859"/>
      <c r="S8" s="859"/>
      <c r="T8" s="859"/>
      <c r="U8" s="859"/>
      <c r="V8" s="859"/>
      <c r="W8" s="859"/>
      <c r="X8" s="859"/>
      <c r="Y8" s="1016"/>
      <c r="Z8" s="862"/>
      <c r="AA8" s="865"/>
      <c r="AB8" s="862"/>
      <c r="AC8" s="862"/>
      <c r="AD8" s="862"/>
    </row>
    <row customHeight="1" ht="9">
      <c r="A9" s="861"/>
      <c r="B9" s="861"/>
      <c r="C9" s="859"/>
      <c r="D9" s="859"/>
      <c r="E9" s="859"/>
      <c r="F9" s="859"/>
      <c r="G9" s="859"/>
      <c r="H9" s="859"/>
      <c r="I9" s="859"/>
      <c r="J9" s="859"/>
      <c r="K9" s="859"/>
      <c r="L9" s="859"/>
      <c r="M9" s="859"/>
      <c r="N9" s="859"/>
      <c r="O9" s="859"/>
      <c r="P9" s="859"/>
      <c r="Q9" s="859"/>
      <c r="R9" s="859"/>
      <c r="S9" s="859"/>
      <c r="T9" s="859"/>
      <c r="U9" s="859"/>
      <c r="V9" s="859"/>
      <c r="W9" s="859"/>
      <c r="X9" s="859"/>
      <c r="Y9" s="1016"/>
      <c r="Z9" s="862"/>
      <c r="AA9" s="865"/>
      <c r="AB9" s="862"/>
      <c r="AC9" s="862"/>
      <c r="AD9" s="862"/>
    </row>
    <row customHeight="1" ht="9">
      <c r="A10" s="915"/>
      <c r="B10" s="915"/>
      <c r="C10" s="915"/>
      <c r="D10" s="915"/>
      <c r="E10" s="915"/>
      <c r="F10" s="915"/>
      <c r="G10" s="915"/>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row>
    <row customHeight="1" ht="45">
      <c r="A11" s="2609" t="s">
        <v>33</v>
      </c>
      <c r="B11" s="915">
        <v>1</v>
      </c>
      <c r="C11" s="2615" t="s">
        <v>173</v>
      </c>
      <c r="D11" s="2615" t="s">
        <v>1706</v>
      </c>
      <c r="E11" s="2615" t="s">
        <v>1801</v>
      </c>
      <c r="F11" s="2615" t="s">
        <v>2168</v>
      </c>
      <c r="G11" s="2615"/>
      <c r="H11" s="914" t="s">
        <v>2169</v>
      </c>
      <c r="I11" s="914"/>
      <c r="J11" s="914"/>
      <c r="K11" s="914"/>
      <c r="L11" s="914"/>
      <c r="M11" s="860" t="str">
        <f>IF(TEMPLATE_SPHERE="HEAT",T11,U11)</f>
        <v>Количество поданных заявок</v>
      </c>
      <c r="N11" s="86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9"/>
      <c r="P11" s="859"/>
      <c r="Q11" s="859"/>
      <c r="R11" s="859"/>
      <c r="S11" s="859"/>
      <c r="T11" s="859" t="s">
        <v>2170</v>
      </c>
      <c r="U11" s="859" t="s">
        <v>2171</v>
      </c>
      <c r="V11" s="859"/>
      <c r="W11" s="859"/>
      <c r="X11" s="859"/>
      <c r="Y11" s="1016"/>
      <c r="Z11" s="862" t="s">
        <v>2172</v>
      </c>
      <c r="AA11" s="8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2"/>
      <c r="AC11" s="862"/>
      <c r="AD11" s="862"/>
    </row>
    <row customHeight="1" ht="45">
      <c r="A12" s="2609"/>
      <c r="B12" s="915">
        <v>2</v>
      </c>
      <c r="C12" s="2616"/>
      <c r="D12" s="2616"/>
      <c r="E12" s="2616"/>
      <c r="F12" s="2616"/>
      <c r="G12" s="2616"/>
      <c r="H12" s="914" t="s">
        <v>2173</v>
      </c>
      <c r="I12" s="914"/>
      <c r="J12" s="914"/>
      <c r="K12" s="914"/>
      <c r="L12" s="914"/>
      <c r="M12" s="860" t="str">
        <f>IF(TEMPLATE_SPHERE="HEAT",T12,U12)</f>
        <v>Количество рассмотренных заявок</v>
      </c>
      <c r="N12" s="86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9"/>
      <c r="P12" s="859"/>
      <c r="Q12" s="859"/>
      <c r="R12" s="859"/>
      <c r="S12" s="859"/>
      <c r="T12" s="859" t="s">
        <v>2174</v>
      </c>
      <c r="U12" s="859" t="s">
        <v>2175</v>
      </c>
      <c r="V12" s="859"/>
      <c r="W12" s="859"/>
      <c r="X12" s="859"/>
      <c r="Y12" s="1016"/>
      <c r="Z12" s="862" t="s">
        <v>2176</v>
      </c>
      <c r="AA12" s="8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2"/>
      <c r="AC12" s="862"/>
      <c r="AD12" s="862"/>
    </row>
    <row customHeight="1" ht="72">
      <c r="A13" s="2609"/>
      <c r="B13" s="915">
        <v>3</v>
      </c>
      <c r="C13" s="2616"/>
      <c r="D13" s="2616"/>
      <c r="E13" s="2616"/>
      <c r="F13" s="2616"/>
      <c r="G13" s="2616"/>
      <c r="H13" s="2608" t="s">
        <v>2177</v>
      </c>
      <c r="I13" s="914"/>
      <c r="J13" s="914"/>
      <c r="K13" s="914"/>
      <c r="L13" s="914"/>
      <c r="M13" s="86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60" t="str">
        <f>IF(TEMPLATE_SPHERE="HEAT",Z13,AA13)</f>
        <v>Указывается количество заявок с решением об отказе в течение отчетного квартала.</v>
      </c>
      <c r="O13" s="859"/>
      <c r="P13" s="860"/>
      <c r="Q13" s="860"/>
      <c r="R13" s="860"/>
      <c r="S13" s="859"/>
      <c r="T13" s="859" t="s">
        <v>2178</v>
      </c>
      <c r="U13" s="860" t="s">
        <v>2179</v>
      </c>
      <c r="V13" s="860"/>
      <c r="W13" s="860"/>
      <c r="X13" s="859"/>
      <c r="Y13" s="1016"/>
      <c r="Z13" s="862" t="s">
        <v>2180</v>
      </c>
      <c r="AA13" s="8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2"/>
      <c r="AC13" s="862"/>
      <c r="AD13" s="862"/>
    </row>
    <row customHeight="1" ht="45">
      <c r="A14" s="2609"/>
      <c r="B14" s="915">
        <v>4</v>
      </c>
      <c r="C14" s="2616"/>
      <c r="D14" s="2616"/>
      <c r="E14" s="2616"/>
      <c r="F14" s="2616"/>
      <c r="G14" s="2616"/>
      <c r="H14" s="2608"/>
      <c r="I14" s="917"/>
      <c r="J14" s="917"/>
      <c r="K14" s="917"/>
      <c r="L14" s="917"/>
      <c r="M14" s="863" t="str">
        <f>IF(TEMPLATE_SPHERE="HEAT",T14,U14)</f>
        <v>Причины отказа в заключении договора о подключении (технологическом присоединении) к системе теплоснабжения</v>
      </c>
      <c r="N14" s="86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9"/>
      <c r="P14" s="860"/>
      <c r="Q14" s="860"/>
      <c r="R14" s="860"/>
      <c r="S14" s="859"/>
      <c r="T14" s="859" t="s">
        <v>2181</v>
      </c>
      <c r="U14" s="8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60"/>
      <c r="W14" s="860"/>
      <c r="X14" s="859"/>
      <c r="Y14" s="1016"/>
      <c r="Z14" s="862" t="s">
        <v>2182</v>
      </c>
      <c r="AA14" s="865" t="s">
        <v>2182</v>
      </c>
      <c r="AB14" s="862"/>
      <c r="AC14" s="862"/>
      <c r="AD14" s="862"/>
    </row>
    <row customHeight="1" ht="108">
      <c r="A15" s="2609"/>
      <c r="B15" s="915">
        <v>5</v>
      </c>
      <c r="C15" s="2616"/>
      <c r="D15" s="2616"/>
      <c r="E15" s="2616"/>
      <c r="F15" s="2616"/>
      <c r="G15" s="2616"/>
      <c r="H15" s="2610" t="s">
        <v>2183</v>
      </c>
      <c r="I15" s="916"/>
      <c r="J15" s="916"/>
      <c r="K15" s="916"/>
      <c r="L15" s="916"/>
      <c r="M15" s="865" t="str">
        <f>IF(TEMPLATE_SPHERE="HEAT",T15,U15)</f>
        <v>Резерв мощности источников тепловой энергии, входящих в систему теплоснабжения, в течение одного квартала, в том числе:</v>
      </c>
      <c r="N15" s="86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9"/>
      <c r="P15" s="860"/>
      <c r="Q15" s="860"/>
      <c r="R15" s="860"/>
      <c r="S15" s="859"/>
      <c r="T15" s="859" t="s">
        <v>2184</v>
      </c>
      <c r="U15" s="8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60"/>
      <c r="W15" s="860"/>
      <c r="X15" s="859"/>
      <c r="Y15" s="1016"/>
      <c r="Z15" s="862" t="s">
        <v>2185</v>
      </c>
      <c r="AA15" s="8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2"/>
      <c r="AC15" s="862"/>
      <c r="AD15" s="862"/>
    </row>
    <row customHeight="1" ht="108">
      <c r="A16" s="915"/>
      <c r="B16" s="915">
        <v>6</v>
      </c>
      <c r="C16" s="2617"/>
      <c r="D16" s="2617"/>
      <c r="E16" s="2617"/>
      <c r="F16" s="2617"/>
      <c r="G16" s="2617"/>
      <c r="H16" s="2611"/>
      <c r="I16" s="978"/>
      <c r="J16" s="978"/>
      <c r="K16" s="978"/>
      <c r="L16" s="978"/>
      <c r="M16" s="908"/>
      <c r="N16" s="86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9"/>
      <c r="P16" s="860"/>
      <c r="Q16" s="860"/>
      <c r="R16" s="860"/>
      <c r="S16" s="859"/>
      <c r="T16" s="859"/>
      <c r="U16" s="860"/>
      <c r="V16" s="860"/>
      <c r="W16" s="860"/>
      <c r="X16" s="859"/>
      <c r="Y16" s="1016"/>
      <c r="Z16" s="862" t="s">
        <v>2185</v>
      </c>
      <c r="AA16" s="8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2"/>
      <c r="AC16" s="862"/>
      <c r="AD16" s="862"/>
    </row>
    <row customHeight="1" ht="9">
      <c r="A17" s="915"/>
      <c r="B17" s="915"/>
      <c r="C17" s="915">
        <v>22</v>
      </c>
      <c r="D17" s="915">
        <v>21</v>
      </c>
      <c r="E17" s="915">
        <v>42</v>
      </c>
      <c r="F17" s="915">
        <v>63</v>
      </c>
      <c r="G17" s="915"/>
      <c r="H17" s="915"/>
      <c r="I17" s="915"/>
      <c r="J17" s="915"/>
      <c r="K17" s="915"/>
      <c r="L17" s="915"/>
      <c r="M17" s="915"/>
      <c r="N17" s="915"/>
      <c r="O17" s="915"/>
      <c r="P17" s="915"/>
      <c r="Q17" s="915"/>
      <c r="R17" s="915"/>
      <c r="S17" s="915"/>
      <c r="T17" s="915"/>
      <c r="U17" s="915"/>
      <c r="V17" s="915"/>
      <c r="W17" s="915"/>
      <c r="X17" s="915"/>
      <c r="Y17" s="915"/>
      <c r="Z17" s="915"/>
      <c r="AA17" s="915"/>
      <c r="AB17" s="915"/>
      <c r="AC17" s="915"/>
      <c r="AD17" s="915"/>
    </row>
    <row customHeight="1" ht="27">
      <c r="A18" s="861" t="s">
        <v>1804</v>
      </c>
      <c r="B18" s="915">
        <v>1</v>
      </c>
      <c r="C18" s="859" t="s">
        <v>2169</v>
      </c>
      <c r="D18" s="983" t="s">
        <v>2169</v>
      </c>
      <c r="E18" s="859" t="s">
        <v>2169</v>
      </c>
      <c r="F18" s="859" t="s">
        <v>2169</v>
      </c>
      <c r="G18" s="859"/>
      <c r="H18" s="1018"/>
      <c r="I18" s="1021">
        <f>INDEX(TEMPLATE_NUMBER_POINT_FHD,B18,MATCH(TEMPLATE_SPHERE,TEMPLATE_SPHERE_LIST_FOR_NOTE,0))</f>
        <v>1</v>
      </c>
      <c r="J18" s="1021" t="str">
        <f>INDEX(TEMPLATE_DATA_POINT_FHD,B18,MATCH(TEMPLATE_SPHERE,TEMPLATE_SPHERE_LIST_FOR_NOTE,0))</f>
        <v>Выручка от регулируемого вида деятельности с распределением по видам деятельности</v>
      </c>
      <c r="K18" s="102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60">
        <f>IF(I18=0,"",I18)</f>
        <v>1</v>
      </c>
      <c r="M18" s="860" t="str">
        <f>IF(J18=0,"",J18)</f>
        <v>Выручка от регулируемого вида деятельности с распределением по видам деятельности</v>
      </c>
      <c r="N18" s="860" t="str">
        <f>IF(K18=0,"",K18)</f>
        <v>Указывается выручка от регулируемого вида деятельности с распределением по видам деятельности.</v>
      </c>
      <c r="O18" s="973">
        <v>1</v>
      </c>
      <c r="P18" s="973">
        <v>1</v>
      </c>
      <c r="Q18" s="973">
        <v>1</v>
      </c>
      <c r="R18" s="973">
        <v>1</v>
      </c>
      <c r="S18" s="973"/>
      <c r="T18" s="980" t="s">
        <v>2186</v>
      </c>
      <c r="U18" s="862" t="s">
        <v>2187</v>
      </c>
      <c r="V18" s="862" t="s">
        <v>2188</v>
      </c>
      <c r="W18" s="862" t="s">
        <v>2189</v>
      </c>
      <c r="X18" s="859"/>
      <c r="Y18" s="1016"/>
      <c r="Z18" s="862" t="s">
        <v>2190</v>
      </c>
      <c r="AA18" s="865" t="s">
        <v>2191</v>
      </c>
      <c r="AB18" s="865" t="s">
        <v>2191</v>
      </c>
      <c r="AC18" s="865" t="s">
        <v>2191</v>
      </c>
      <c r="AD18" s="862"/>
    </row>
    <row customHeight="1" ht="36">
      <c r="A19" s="861"/>
      <c r="B19" s="915">
        <v>2</v>
      </c>
      <c r="C19" s="859" t="s">
        <v>2173</v>
      </c>
      <c r="D19" s="983" t="s">
        <v>2173</v>
      </c>
      <c r="E19" s="859" t="s">
        <v>2173</v>
      </c>
      <c r="F19" s="859" t="s">
        <v>2173</v>
      </c>
      <c r="G19" s="859"/>
      <c r="H19" s="1018"/>
      <c r="I19" s="1021">
        <f>INDEX(TEMPLATE_NUMBER_POINT_FHD,B19,MATCH(TEMPLATE_SPHERE,TEMPLATE_SPHERE_LIST_FOR_NOTE,0))</f>
        <v>2</v>
      </c>
      <c r="J19" s="102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21" t="str">
        <f>INDEX(TEMPLATE_NOTE_POINT_FHD,B19,MATCH(TEMPLATE_SPHERE,TEMPLATE_SPHERE_LIST_FOR_NOTE,0))</f>
        <v>Указывается суммарная себестоимость производимых товаров.</v>
      </c>
      <c r="L19" s="860">
        <f>IF(I19=0,"",I19)</f>
        <v>2</v>
      </c>
      <c r="M19" s="860" t="str">
        <f>IF(J19=0,"",J19)</f>
        <v>Себестоимость производимых товаров (оказываемых услуг) по регулируемому виду деятельности, включая:</v>
      </c>
      <c r="N19" s="860" t="str">
        <f>IF(K19=0,"",K19)</f>
        <v>Указывается суммарная себестоимость производимых товаров.</v>
      </c>
      <c r="O19" s="973">
        <v>2</v>
      </c>
      <c r="P19" s="973">
        <v>2</v>
      </c>
      <c r="Q19" s="973">
        <v>2</v>
      </c>
      <c r="R19" s="973">
        <v>2</v>
      </c>
      <c r="S19" s="973"/>
      <c r="T19" s="980" t="s">
        <v>2192</v>
      </c>
      <c r="U19" s="862" t="s">
        <v>2193</v>
      </c>
      <c r="V19" s="862" t="s">
        <v>2194</v>
      </c>
      <c r="W19" s="862" t="s">
        <v>2195</v>
      </c>
      <c r="X19" s="859"/>
      <c r="Y19" s="1016"/>
      <c r="Z19" s="862" t="s">
        <v>2196</v>
      </c>
      <c r="AA19" s="865" t="s">
        <v>2196</v>
      </c>
      <c r="AB19" s="865" t="s">
        <v>2196</v>
      </c>
      <c r="AC19" s="865" t="s">
        <v>2196</v>
      </c>
      <c r="AD19" s="862"/>
    </row>
    <row customHeight="1" ht="27">
      <c r="A20" s="861"/>
      <c r="B20" s="915">
        <v>3</v>
      </c>
      <c r="C20" s="859">
        <v>1</v>
      </c>
      <c r="D20" s="983"/>
      <c r="E20" s="859"/>
      <c r="F20" s="859"/>
      <c r="G20" s="859"/>
      <c r="H20" s="1018"/>
      <c r="I20" s="1021" t="str">
        <f>INDEX(TEMPLATE_NUMBER_POINT_FHD,B20,MATCH(TEMPLATE_SPHERE,TEMPLATE_SPHERE_LIST_FOR_NOTE,0))</f>
        <v>2.1</v>
      </c>
      <c r="J20" s="1021" t="str">
        <f>INDEX(TEMPLATE_DATA_POINT_FHD,B20,MATCH(TEMPLATE_SPHERE,TEMPLATE_SPHERE_LIST_FOR_NOTE,0))</f>
        <v>Расходы на приобретаемую тепловую энергию (мощность), теплоноситель</v>
      </c>
      <c r="K20" s="1021">
        <f>INDEX(TEMPLATE_NOTE_POINT_FHD,B20,MATCH(TEMPLATE_SPHERE,TEMPLATE_SPHERE_LIST_FOR_NOTE,0))</f>
        <v>0</v>
      </c>
      <c r="L20" s="860" t="str">
        <f>IF(I20=0,"",I20)</f>
        <v>2.1</v>
      </c>
      <c r="M20" s="860" t="str">
        <f>IF(J20=0,"",J20)</f>
        <v>Расходы на приобретаемую тепловую энергию (мощность), теплоноситель</v>
      </c>
      <c r="N20" s="860" t="str">
        <f>IF(K20=0,"",K20)</f>
        <v/>
      </c>
      <c r="O20" s="973" t="s">
        <v>861</v>
      </c>
      <c r="P20" s="973" t="s">
        <v>861</v>
      </c>
      <c r="Q20" s="973" t="s">
        <v>861</v>
      </c>
      <c r="R20" s="973" t="s">
        <v>861</v>
      </c>
      <c r="S20" s="973"/>
      <c r="T20" s="980" t="s">
        <v>2197</v>
      </c>
      <c r="U20" s="862" t="s">
        <v>2198</v>
      </c>
      <c r="V20" s="862" t="s">
        <v>2199</v>
      </c>
      <c r="W20" s="862" t="s">
        <v>2200</v>
      </c>
      <c r="X20" s="859"/>
      <c r="Y20" s="1016"/>
      <c r="Z20" s="862"/>
      <c r="AA20" s="865"/>
      <c r="AB20" s="862"/>
      <c r="AC20" s="862"/>
      <c r="AD20" s="862"/>
    </row>
    <row customHeight="1" ht="36">
      <c r="A21" s="861"/>
      <c r="B21" s="915">
        <v>4</v>
      </c>
      <c r="C21" s="859">
        <v>2</v>
      </c>
      <c r="D21" s="983"/>
      <c r="E21" s="859"/>
      <c r="F21" s="859"/>
      <c r="G21" s="859"/>
      <c r="H21" s="1018"/>
      <c r="I21" s="1021" t="str">
        <f>INDEX(TEMPLATE_NUMBER_POINT_FHD,B21,MATCH(TEMPLATE_SPHERE,TEMPLATE_SPHERE_LIST_FOR_NOTE,0))</f>
        <v>2.2</v>
      </c>
      <c r="J21" s="102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21" t="str">
        <f>INDEX(TEMPLATE_NOTE_POINT_FHD,B21,MATCH(TEMPLATE_SPHERE,TEMPLATE_SPHERE_LIST_FOR_NOTE,0))</f>
        <v>Указываются суммарные расходы на приобретение топлива всех видов.</v>
      </c>
      <c r="L21" s="860" t="str">
        <f>IF(I21=0,"",I21)</f>
        <v>2.2</v>
      </c>
      <c r="M21" s="86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60" t="str">
        <f>IF(K21=0,"",K21)</f>
        <v>Указываются суммарные расходы на приобретение топлива всех видов.</v>
      </c>
      <c r="O21" s="973" t="s">
        <v>460</v>
      </c>
      <c r="P21" s="973"/>
      <c r="Q21" s="973"/>
      <c r="R21" s="973"/>
      <c r="S21" s="973"/>
      <c r="T21" s="980" t="s">
        <v>2201</v>
      </c>
      <c r="U21" s="862"/>
      <c r="V21" s="862"/>
      <c r="W21" s="862"/>
      <c r="X21" s="859"/>
      <c r="Y21" s="1016"/>
      <c r="Z21" s="862" t="s">
        <v>2202</v>
      </c>
      <c r="AA21" s="865"/>
      <c r="AB21" s="862"/>
      <c r="AC21" s="862"/>
      <c r="AD21" s="862"/>
    </row>
    <row customHeight="1" ht="36">
      <c r="A22" s="861"/>
      <c r="B22" s="915">
        <v>5</v>
      </c>
      <c r="C22" s="859">
        <v>3</v>
      </c>
      <c r="D22" s="983"/>
      <c r="E22" s="859"/>
      <c r="F22" s="859"/>
      <c r="G22" s="907"/>
      <c r="H22" s="974"/>
      <c r="I22" s="1021">
        <f>INDEX(TEMPLATE_NUMBER_POINT_FHD,B22,MATCH(TEMPLATE_SPHERE,TEMPLATE_SPHERE_LIST_FOR_NOTE,0))</f>
        <v>0</v>
      </c>
      <c r="J22" s="1021">
        <f>INDEX(TEMPLATE_DATA_POINT_FHD,B22,MATCH(TEMPLATE_SPHERE,TEMPLATE_SPHERE_LIST_FOR_NOTE,0))</f>
        <v>0</v>
      </c>
      <c r="K22" s="1021">
        <f>INDEX(TEMPLATE_NOTE_POINT_FHD,B22,MATCH(TEMPLATE_SPHERE,TEMPLATE_SPHERE_LIST_FOR_NOTE,0))</f>
        <v>0</v>
      </c>
      <c r="L22" s="860" t="str">
        <f>IF(I22=0,"",I22)</f>
        <v/>
      </c>
      <c r="M22" s="860" t="str">
        <f>IF(J22=0,"",J22)</f>
        <v/>
      </c>
      <c r="N22" s="860" t="str">
        <f>IF(K22=0,"",K22)</f>
        <v/>
      </c>
      <c r="O22" s="973"/>
      <c r="P22" s="973"/>
      <c r="Q22" s="973" t="s">
        <v>460</v>
      </c>
      <c r="R22" s="973"/>
      <c r="S22" s="973"/>
      <c r="T22" s="980"/>
      <c r="U22" s="862"/>
      <c r="V22" s="862" t="s">
        <v>2203</v>
      </c>
      <c r="W22" s="862"/>
      <c r="X22" s="859"/>
      <c r="Y22" s="1016"/>
      <c r="Z22" s="862"/>
      <c r="AA22" s="865"/>
      <c r="AB22" s="862"/>
      <c r="AC22" s="862"/>
      <c r="AD22" s="862"/>
    </row>
    <row customHeight="1" ht="27">
      <c r="A23" s="861"/>
      <c r="B23" s="915">
        <v>6</v>
      </c>
      <c r="C23" s="859">
        <v>4</v>
      </c>
      <c r="D23" s="983"/>
      <c r="E23" s="859"/>
      <c r="F23" s="859"/>
      <c r="G23" s="907"/>
      <c r="H23" s="974"/>
      <c r="I23" s="1021">
        <f>INDEX(TEMPLATE_NUMBER_POINT_FHD,B23,MATCH(TEMPLATE_SPHERE,TEMPLATE_SPHERE_LIST_FOR_NOTE,0))</f>
        <v>0</v>
      </c>
      <c r="J23" s="1021">
        <f>INDEX(TEMPLATE_DATA_POINT_FHD,B23,MATCH(TEMPLATE_SPHERE,TEMPLATE_SPHERE_LIST_FOR_NOTE,0))</f>
        <v>0</v>
      </c>
      <c r="K23" s="1021">
        <f>INDEX(TEMPLATE_NOTE_POINT_FHD,B23,MATCH(TEMPLATE_SPHERE,TEMPLATE_SPHERE_LIST_FOR_NOTE,0))</f>
        <v>0</v>
      </c>
      <c r="L23" s="860" t="str">
        <f>IF(I23=0,"",I23)</f>
        <v/>
      </c>
      <c r="M23" s="860" t="str">
        <f>IF(J23=0,"",J23)</f>
        <v/>
      </c>
      <c r="N23" s="860" t="str">
        <f>IF(K23=0,"",K23)</f>
        <v/>
      </c>
      <c r="O23" s="973"/>
      <c r="P23" s="973"/>
      <c r="Q23" s="973" t="s">
        <v>463</v>
      </c>
      <c r="R23" s="973"/>
      <c r="S23" s="973"/>
      <c r="T23" s="980"/>
      <c r="U23" s="862"/>
      <c r="V23" s="862" t="s">
        <v>2204</v>
      </c>
      <c r="W23" s="862"/>
      <c r="X23" s="859"/>
      <c r="Y23" s="1016"/>
      <c r="Z23" s="862"/>
      <c r="AA23" s="865"/>
      <c r="AB23" s="862"/>
      <c r="AC23" s="862"/>
      <c r="AD23" s="862"/>
    </row>
    <row customHeight="1" ht="36">
      <c r="A24" s="861"/>
      <c r="B24" s="915">
        <v>7</v>
      </c>
      <c r="C24" s="859">
        <v>5</v>
      </c>
      <c r="D24" s="983"/>
      <c r="E24" s="859"/>
      <c r="F24" s="859"/>
      <c r="G24" s="907"/>
      <c r="H24" s="974"/>
      <c r="I24" s="1021">
        <f>INDEX(TEMPLATE_NUMBER_POINT_FHD,B24,MATCH(TEMPLATE_SPHERE,TEMPLATE_SPHERE_LIST_FOR_NOTE,0))</f>
        <v>0</v>
      </c>
      <c r="J24" s="1021">
        <f>INDEX(TEMPLATE_DATA_POINT_FHD,B24,MATCH(TEMPLATE_SPHERE,TEMPLATE_SPHERE_LIST_FOR_NOTE,0))</f>
        <v>0</v>
      </c>
      <c r="K24" s="1021">
        <f>INDEX(TEMPLATE_NOTE_POINT_FHD,B24,MATCH(TEMPLATE_SPHERE,TEMPLATE_SPHERE_LIST_FOR_NOTE,0))</f>
        <v>0</v>
      </c>
      <c r="L24" s="860" t="str">
        <f>IF(I24=0,"",I24)</f>
        <v/>
      </c>
      <c r="M24" s="860" t="str">
        <f>IF(J24=0,"",J24)</f>
        <v/>
      </c>
      <c r="N24" s="860" t="str">
        <f>IF(K24=0,"",K24)</f>
        <v/>
      </c>
      <c r="O24" s="973"/>
      <c r="P24" s="973"/>
      <c r="Q24" s="973" t="s">
        <v>881</v>
      </c>
      <c r="R24" s="973"/>
      <c r="S24" s="973"/>
      <c r="T24" s="980"/>
      <c r="U24" s="862"/>
      <c r="V24" s="862" t="s">
        <v>2205</v>
      </c>
      <c r="W24" s="862"/>
      <c r="X24" s="859"/>
      <c r="Y24" s="1016"/>
      <c r="Z24" s="862"/>
      <c r="AA24" s="865"/>
      <c r="AB24" s="862"/>
      <c r="AC24" s="862"/>
      <c r="AD24" s="862"/>
    </row>
    <row customHeight="1" ht="36">
      <c r="A25" s="861"/>
      <c r="B25" s="915">
        <v>8</v>
      </c>
      <c r="C25" s="859">
        <v>6</v>
      </c>
      <c r="D25" s="983"/>
      <c r="E25" s="859"/>
      <c r="F25" s="859"/>
      <c r="G25" s="907"/>
      <c r="H25" s="974"/>
      <c r="I25" s="1021" t="str">
        <f>INDEX(TEMPLATE_NUMBER_POINT_FHD,B25,MATCH(TEMPLATE_SPHERE,TEMPLATE_SPHERE_LIST_FOR_NOTE,0))</f>
        <v>2.3</v>
      </c>
      <c r="J25" s="102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1">
        <f>INDEX(TEMPLATE_NOTE_POINT_FHD,B25,MATCH(TEMPLATE_SPHERE,TEMPLATE_SPHERE_LIST_FOR_NOTE,0))</f>
        <v>0</v>
      </c>
      <c r="L25" s="860" t="str">
        <f>IF(I25=0,"",I25)</f>
        <v>2.3</v>
      </c>
      <c r="M25" s="860" t="str">
        <f>IF(J25=0,"",J25)</f>
        <v>Расходы на приобретаемую электрическую энергию (мощность), используемую в технологическом процессе</v>
      </c>
      <c r="N25" s="860" t="str">
        <f>IF(K25=0,"",K25)</f>
        <v/>
      </c>
      <c r="O25" s="973" t="s">
        <v>463</v>
      </c>
      <c r="P25" s="973" t="s">
        <v>460</v>
      </c>
      <c r="Q25" s="973" t="s">
        <v>888</v>
      </c>
      <c r="R25" s="973" t="s">
        <v>460</v>
      </c>
      <c r="S25" s="973"/>
      <c r="T25" s="980" t="s">
        <v>2206</v>
      </c>
      <c r="U25" s="862" t="s">
        <v>2206</v>
      </c>
      <c r="V25" s="862" t="s">
        <v>2206</v>
      </c>
      <c r="W25" s="862" t="s">
        <v>2206</v>
      </c>
      <c r="X25" s="859"/>
      <c r="Y25" s="1016"/>
      <c r="Z25" s="862"/>
      <c r="AA25" s="865"/>
      <c r="AB25" s="862"/>
      <c r="AC25" s="862"/>
      <c r="AD25" s="862"/>
    </row>
    <row customHeight="1" ht="18">
      <c r="A26" s="861"/>
      <c r="B26" s="915">
        <v>9</v>
      </c>
      <c r="C26" s="859" t="s">
        <v>805</v>
      </c>
      <c r="D26" s="983"/>
      <c r="E26" s="859"/>
      <c r="F26" s="859"/>
      <c r="G26" s="907"/>
      <c r="H26" s="974"/>
      <c r="I26" s="1021" t="str">
        <f>INDEX(TEMPLATE_NUMBER_POINT_FHD,B26,MATCH(TEMPLATE_SPHERE,TEMPLATE_SPHERE_LIST_FOR_NOTE,0))</f>
        <v>2.3.1</v>
      </c>
      <c r="J26" s="1021" t="str">
        <f>INDEX(TEMPLATE_DATA_POINT_FHD,B26,MATCH(TEMPLATE_SPHERE,TEMPLATE_SPHERE_LIST_FOR_NOTE,0))</f>
        <v>Средневзвешенная стоимость 1 кВт.ч (с учетом мощности)</v>
      </c>
      <c r="K26" s="1021">
        <f>INDEX(TEMPLATE_NOTE_POINT_FHD,B26,MATCH(TEMPLATE_SPHERE,TEMPLATE_SPHERE_LIST_FOR_NOTE,0))</f>
        <v>0</v>
      </c>
      <c r="L26" s="860" t="str">
        <f>IF(I26=0,"",I26)</f>
        <v>2.3.1</v>
      </c>
      <c r="M26" s="860" t="str">
        <f>IF(J26=0,"",J26)</f>
        <v>Средневзвешенная стоимость 1 кВт.ч (с учетом мощности)</v>
      </c>
      <c r="N26" s="860" t="str">
        <f>IF(K26=0,"",K26)</f>
        <v/>
      </c>
      <c r="O26" s="973" t="s">
        <v>877</v>
      </c>
      <c r="P26" s="973" t="s">
        <v>871</v>
      </c>
      <c r="Q26" s="973" t="s">
        <v>2207</v>
      </c>
      <c r="R26" s="973" t="s">
        <v>871</v>
      </c>
      <c r="S26" s="973"/>
      <c r="T26" s="98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80" t="s">
        <v>2208</v>
      </c>
      <c r="V26" s="980" t="s">
        <v>2208</v>
      </c>
      <c r="W26" s="980" t="s">
        <v>2208</v>
      </c>
      <c r="X26" s="859"/>
      <c r="Y26" s="1016"/>
      <c r="Z26" s="862"/>
      <c r="AA26" s="865"/>
      <c r="AB26" s="862"/>
      <c r="AC26" s="862"/>
      <c r="AD26" s="862"/>
    </row>
    <row customHeight="1" ht="18">
      <c r="A27" s="861"/>
      <c r="B27" s="915">
        <v>10</v>
      </c>
      <c r="C27" s="859" t="s">
        <v>809</v>
      </c>
      <c r="D27" s="983"/>
      <c r="E27" s="859"/>
      <c r="F27" s="859"/>
      <c r="G27" s="907"/>
      <c r="H27" s="974"/>
      <c r="I27" s="1021" t="str">
        <f>INDEX(TEMPLATE_NUMBER_POINT_FHD,B27,MATCH(TEMPLATE_SPHERE,TEMPLATE_SPHERE_LIST_FOR_NOTE,0))</f>
        <v>2.3.2</v>
      </c>
      <c r="J27" s="1021" t="str">
        <f>INDEX(TEMPLATE_DATA_POINT_FHD,B27,MATCH(TEMPLATE_SPHERE,TEMPLATE_SPHERE_LIST_FOR_NOTE,0))</f>
        <v>Объём приобретения электрической энергии</v>
      </c>
      <c r="K27" s="1021">
        <f>INDEX(TEMPLATE_NOTE_POINT_FHD,B27,MATCH(TEMPLATE_SPHERE,TEMPLATE_SPHERE_LIST_FOR_NOTE,0))</f>
        <v>0</v>
      </c>
      <c r="L27" s="860" t="str">
        <f>IF(I27=0,"",I27)</f>
        <v>2.3.2</v>
      </c>
      <c r="M27" s="860" t="str">
        <f>IF(J27=0,"",J27)</f>
        <v>Объём приобретения электрической энергии</v>
      </c>
      <c r="N27" s="860" t="str">
        <f>IF(K27=0,"",K27)</f>
        <v/>
      </c>
      <c r="O27" s="973" t="s">
        <v>879</v>
      </c>
      <c r="P27" s="973" t="s">
        <v>873</v>
      </c>
      <c r="Q27" s="973" t="s">
        <v>2209</v>
      </c>
      <c r="R27" s="973" t="s">
        <v>873</v>
      </c>
      <c r="S27" s="973"/>
      <c r="T27" s="980" t="s">
        <v>2210</v>
      </c>
      <c r="U27" s="980" t="s">
        <v>2210</v>
      </c>
      <c r="V27" s="980" t="s">
        <v>2210</v>
      </c>
      <c r="W27" s="980" t="s">
        <v>2210</v>
      </c>
      <c r="X27" s="859"/>
      <c r="Y27" s="1016"/>
      <c r="Z27" s="862"/>
      <c r="AA27" s="865"/>
      <c r="AB27" s="862"/>
      <c r="AC27" s="862"/>
      <c r="AD27" s="862"/>
    </row>
    <row customHeight="1" ht="27">
      <c r="A28" s="861"/>
      <c r="B28" s="915">
        <v>11</v>
      </c>
      <c r="C28" s="859">
        <v>7</v>
      </c>
      <c r="D28" s="983"/>
      <c r="E28" s="859"/>
      <c r="F28" s="859"/>
      <c r="G28" s="907"/>
      <c r="H28" s="974"/>
      <c r="I28" s="1021" t="str">
        <f>INDEX(TEMPLATE_NUMBER_POINT_FHD,B28,MATCH(TEMPLATE_SPHERE,TEMPLATE_SPHERE_LIST_FOR_NOTE,0))</f>
        <v>2.4</v>
      </c>
      <c r="J28" s="1021" t="str">
        <f>INDEX(TEMPLATE_DATA_POINT_FHD,B28,MATCH(TEMPLATE_SPHERE,TEMPLATE_SPHERE_LIST_FOR_NOTE,0))</f>
        <v>Расходы на приобретение холодной воды, используемой в технологическом процессе</v>
      </c>
      <c r="K28" s="1021">
        <f>INDEX(TEMPLATE_NOTE_POINT_FHD,B28,MATCH(TEMPLATE_SPHERE,TEMPLATE_SPHERE_LIST_FOR_NOTE,0))</f>
        <v>0</v>
      </c>
      <c r="L28" s="860" t="str">
        <f>IF(I28=0,"",I28)</f>
        <v>2.4</v>
      </c>
      <c r="M28" s="860" t="str">
        <f>IF(J28=0,"",J28)</f>
        <v>Расходы на приобретение холодной воды, используемой в технологическом процессе</v>
      </c>
      <c r="N28" s="860" t="str">
        <f>IF(K28=0,"",K28)</f>
        <v/>
      </c>
      <c r="O28" s="973" t="s">
        <v>881</v>
      </c>
      <c r="P28" s="973"/>
      <c r="Q28" s="973"/>
      <c r="R28" s="973"/>
      <c r="S28" s="973"/>
      <c r="T28" s="980" t="s">
        <v>2211</v>
      </c>
      <c r="U28" s="862"/>
      <c r="V28" s="862"/>
      <c r="W28" s="862"/>
      <c r="X28" s="859"/>
      <c r="Y28" s="1016"/>
      <c r="Z28" s="862"/>
      <c r="AA28" s="865"/>
      <c r="AB28" s="862"/>
      <c r="AC28" s="862"/>
      <c r="AD28" s="862"/>
    </row>
    <row customHeight="1" ht="27">
      <c r="A29" s="861"/>
      <c r="B29" s="915">
        <v>12</v>
      </c>
      <c r="C29" s="859">
        <v>8</v>
      </c>
      <c r="D29" s="983"/>
      <c r="E29" s="859"/>
      <c r="F29" s="859"/>
      <c r="G29" s="907"/>
      <c r="H29" s="974"/>
      <c r="I29" s="1021" t="str">
        <f>INDEX(TEMPLATE_NUMBER_POINT_FHD,B29,MATCH(TEMPLATE_SPHERE,TEMPLATE_SPHERE_LIST_FOR_NOTE,0))</f>
        <v>2.5</v>
      </c>
      <c r="J29" s="1021" t="str">
        <f>INDEX(TEMPLATE_DATA_POINT_FHD,B29,MATCH(TEMPLATE_SPHERE,TEMPLATE_SPHERE_LIST_FOR_NOTE,0))</f>
        <v>Расходы на  химические реагенты, используемые в технологическом процессе</v>
      </c>
      <c r="K29" s="1021">
        <f>INDEX(TEMPLATE_NOTE_POINT_FHD,B29,MATCH(TEMPLATE_SPHERE,TEMPLATE_SPHERE_LIST_FOR_NOTE,0))</f>
        <v>0</v>
      </c>
      <c r="L29" s="860" t="str">
        <f>IF(I29=0,"",I29)</f>
        <v>2.5</v>
      </c>
      <c r="M29" s="860" t="str">
        <f>IF(J29=0,"",J29)</f>
        <v>Расходы на  химические реагенты, используемые в технологическом процессе</v>
      </c>
      <c r="N29" s="860" t="str">
        <f>IF(K29=0,"",K29)</f>
        <v/>
      </c>
      <c r="O29" s="973" t="s">
        <v>888</v>
      </c>
      <c r="P29" s="973" t="s">
        <v>463</v>
      </c>
      <c r="Q29" s="973"/>
      <c r="R29" s="973" t="s">
        <v>463</v>
      </c>
      <c r="S29" s="973"/>
      <c r="T29" s="98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2" t="s">
        <v>2212</v>
      </c>
      <c r="V29" s="862"/>
      <c r="W29" s="862" t="s">
        <v>2212</v>
      </c>
      <c r="X29" s="859"/>
      <c r="Y29" s="1016"/>
      <c r="Z29" s="862"/>
      <c r="AA29" s="865"/>
      <c r="AB29" s="862"/>
      <c r="AC29" s="862"/>
      <c r="AD29" s="862"/>
    </row>
    <row customHeight="1" ht="54">
      <c r="A30" s="861"/>
      <c r="B30" s="915">
        <v>13</v>
      </c>
      <c r="C30" s="859">
        <v>9</v>
      </c>
      <c r="D30" s="983"/>
      <c r="E30" s="859"/>
      <c r="F30" s="859"/>
      <c r="G30" s="907"/>
      <c r="H30" s="974"/>
      <c r="I30" s="1021" t="str">
        <f>INDEX(TEMPLATE_NUMBER_POINT_FHD,B30,MATCH(TEMPLATE_SPHERE,TEMPLATE_SPHERE_LIST_FOR_NOTE,0))</f>
        <v>2.6</v>
      </c>
      <c r="J30" s="102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1">
        <f>INDEX(TEMPLATE_NOTE_POINT_FHD,B30,MATCH(TEMPLATE_SPHERE,TEMPLATE_SPHERE_LIST_FOR_NOTE,0))</f>
        <v>0</v>
      </c>
      <c r="L30" s="860" t="str">
        <f>IF(I30=0,"",I30)</f>
        <v>2.6</v>
      </c>
      <c r="M30" s="86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60" t="str">
        <f>IF(K30=0,"",K30)</f>
        <v/>
      </c>
      <c r="O30" s="973" t="s">
        <v>890</v>
      </c>
      <c r="P30" s="973" t="s">
        <v>881</v>
      </c>
      <c r="Q30" s="973" t="s">
        <v>890</v>
      </c>
      <c r="R30" s="973" t="s">
        <v>881</v>
      </c>
      <c r="S30" s="973"/>
      <c r="T30" s="980" t="s">
        <v>2213</v>
      </c>
      <c r="U30" s="862" t="s">
        <v>2213</v>
      </c>
      <c r="V30" s="862" t="s">
        <v>2213</v>
      </c>
      <c r="W30" s="862" t="s">
        <v>2213</v>
      </c>
      <c r="X30" s="859"/>
      <c r="Y30" s="1016"/>
      <c r="Z30" s="862"/>
      <c r="AA30" s="865" t="s">
        <v>2214</v>
      </c>
      <c r="AB30" s="865" t="s">
        <v>2214</v>
      </c>
      <c r="AC30" s="865" t="s">
        <v>2214</v>
      </c>
      <c r="AD30" s="862"/>
    </row>
    <row customHeight="1" ht="18">
      <c r="A31" s="861"/>
      <c r="B31" s="915">
        <v>14</v>
      </c>
      <c r="C31" s="859" t="s">
        <v>2215</v>
      </c>
      <c r="D31" s="983"/>
      <c r="E31" s="859"/>
      <c r="F31" s="859"/>
      <c r="G31" s="907"/>
      <c r="H31" s="974"/>
      <c r="I31" s="1021" t="str">
        <f>INDEX(TEMPLATE_NUMBER_POINT_FHD,B31,MATCH(TEMPLATE_SPHERE,TEMPLATE_SPHERE_LIST_FOR_NOTE,0))</f>
        <v>2.6.1</v>
      </c>
      <c r="J31" s="1021" t="str">
        <f>INDEX(TEMPLATE_DATA_POINT_FHD,B31,MATCH(TEMPLATE_SPHERE,TEMPLATE_SPHERE_LIST_FOR_NOTE,0))</f>
        <v>Расходы на оплату труда основного производственного персонала</v>
      </c>
      <c r="K31" s="1021">
        <f>INDEX(TEMPLATE_NOTE_POINT_FHD,B31,MATCH(TEMPLATE_SPHERE,TEMPLATE_SPHERE_LIST_FOR_NOTE,0))</f>
        <v>0</v>
      </c>
      <c r="L31" s="860" t="str">
        <f>IF(I31=0,"",I31)</f>
        <v>2.6.1</v>
      </c>
      <c r="M31" s="860" t="str">
        <f>IF(J31=0,"",J31)</f>
        <v>Расходы на оплату труда основного производственного персонала</v>
      </c>
      <c r="N31" s="860" t="str">
        <f>IF(K31=0,"",K31)</f>
        <v/>
      </c>
      <c r="O31" s="973" t="s">
        <v>2216</v>
      </c>
      <c r="P31" s="973" t="s">
        <v>884</v>
      </c>
      <c r="Q31" s="973" t="s">
        <v>2216</v>
      </c>
      <c r="R31" s="973" t="s">
        <v>884</v>
      </c>
      <c r="S31" s="973"/>
      <c r="T31" s="981" t="s">
        <v>2217</v>
      </c>
      <c r="U31" s="862" t="s">
        <v>2217</v>
      </c>
      <c r="V31" s="862" t="s">
        <v>2217</v>
      </c>
      <c r="W31" s="862" t="s">
        <v>2217</v>
      </c>
      <c r="X31" s="859"/>
      <c r="Y31" s="1016"/>
      <c r="Z31" s="862"/>
      <c r="AA31" s="865"/>
      <c r="AB31" s="865"/>
      <c r="AC31" s="865"/>
      <c r="AD31" s="862"/>
    </row>
    <row customHeight="1" ht="36">
      <c r="A32" s="861"/>
      <c r="B32" s="915">
        <v>15</v>
      </c>
      <c r="C32" s="859" t="s">
        <v>2218</v>
      </c>
      <c r="D32" s="983"/>
      <c r="E32" s="859"/>
      <c r="F32" s="859"/>
      <c r="G32" s="907"/>
      <c r="H32" s="974"/>
      <c r="I32" s="1021" t="str">
        <f>INDEX(TEMPLATE_NUMBER_POINT_FHD,B32,MATCH(TEMPLATE_SPHERE,TEMPLATE_SPHERE_LIST_FOR_NOTE,0))</f>
        <v>2.6.2</v>
      </c>
      <c r="J32" s="102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1">
        <f>INDEX(TEMPLATE_NOTE_POINT_FHD,B32,MATCH(TEMPLATE_SPHERE,TEMPLATE_SPHERE_LIST_FOR_NOTE,0))</f>
        <v>0</v>
      </c>
      <c r="L32" s="860" t="str">
        <f>IF(I32=0,"",I32)</f>
        <v>2.6.2</v>
      </c>
      <c r="M32" s="860" t="str">
        <f>IF(J32=0,"",J32)</f>
        <v>Страховые взносы на обязательное социальное страхование, выплачиваемые из фонда оплаты труда основного производственного персонала</v>
      </c>
      <c r="N32" s="860" t="str">
        <f>IF(K32=0,"",K32)</f>
        <v/>
      </c>
      <c r="O32" s="973" t="s">
        <v>2219</v>
      </c>
      <c r="P32" s="973" t="s">
        <v>886</v>
      </c>
      <c r="Q32" s="973" t="s">
        <v>2219</v>
      </c>
      <c r="R32" s="973" t="s">
        <v>886</v>
      </c>
      <c r="S32" s="973"/>
      <c r="T32" s="98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2" t="s">
        <v>2220</v>
      </c>
      <c r="V32" s="862" t="s">
        <v>2220</v>
      </c>
      <c r="W32" s="862" t="s">
        <v>2220</v>
      </c>
      <c r="X32" s="859"/>
      <c r="Y32" s="1016"/>
      <c r="Z32" s="862"/>
      <c r="AA32" s="865"/>
      <c r="AB32" s="865"/>
      <c r="AC32" s="865"/>
      <c r="AD32" s="862"/>
    </row>
    <row customHeight="1" ht="45">
      <c r="A33" s="861"/>
      <c r="B33" s="915">
        <v>16</v>
      </c>
      <c r="C33" s="859">
        <v>10</v>
      </c>
      <c r="D33" s="983"/>
      <c r="E33" s="859"/>
      <c r="F33" s="859"/>
      <c r="G33" s="907"/>
      <c r="H33" s="974"/>
      <c r="I33" s="1021" t="str">
        <f>INDEX(TEMPLATE_NUMBER_POINT_FHD,B33,MATCH(TEMPLATE_SPHERE,TEMPLATE_SPHERE_LIST_FOR_NOTE,0))</f>
        <v>2.7</v>
      </c>
      <c r="J33" s="102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1">
        <f>INDEX(TEMPLATE_NOTE_POINT_FHD,B33,MATCH(TEMPLATE_SPHERE,TEMPLATE_SPHERE_LIST_FOR_NOTE,0))</f>
        <v>0</v>
      </c>
      <c r="L33" s="860" t="str">
        <f>IF(I33=0,"",I33)</f>
        <v>2.7</v>
      </c>
      <c r="M33" s="86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60" t="str">
        <f>IF(K33=0,"",K33)</f>
        <v/>
      </c>
      <c r="O33" s="973" t="s">
        <v>892</v>
      </c>
      <c r="P33" s="973" t="s">
        <v>888</v>
      </c>
      <c r="Q33" s="973" t="s">
        <v>892</v>
      </c>
      <c r="R33" s="973" t="s">
        <v>888</v>
      </c>
      <c r="S33" s="973"/>
      <c r="T33" s="98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2" t="s">
        <v>2221</v>
      </c>
      <c r="V33" s="862" t="s">
        <v>2221</v>
      </c>
      <c r="W33" s="862" t="s">
        <v>2222</v>
      </c>
      <c r="X33" s="859"/>
      <c r="Y33" s="1016"/>
      <c r="Z33" s="862"/>
      <c r="AA33" s="865" t="s">
        <v>2223</v>
      </c>
      <c r="AB33" s="865" t="s">
        <v>2223</v>
      </c>
      <c r="AC33" s="865" t="s">
        <v>2223</v>
      </c>
      <c r="AD33" s="862"/>
    </row>
    <row customHeight="1" ht="27">
      <c r="A34" s="861"/>
      <c r="B34" s="915">
        <v>17</v>
      </c>
      <c r="C34" s="859" t="s">
        <v>2224</v>
      </c>
      <c r="D34" s="983"/>
      <c r="E34" s="859"/>
      <c r="F34" s="859"/>
      <c r="G34" s="907"/>
      <c r="H34" s="974"/>
      <c r="I34" s="1021" t="str">
        <f>INDEX(TEMPLATE_NUMBER_POINT_FHD,B34,MATCH(TEMPLATE_SPHERE,TEMPLATE_SPHERE_LIST_FOR_NOTE,0))</f>
        <v>2.7.1</v>
      </c>
      <c r="J34" s="1021" t="str">
        <f>INDEX(TEMPLATE_DATA_POINT_FHD,B34,MATCH(TEMPLATE_SPHERE,TEMPLATE_SPHERE_LIST_FOR_NOTE,0))</f>
        <v>Расходы на оплату труда административно-управленческого персонала</v>
      </c>
      <c r="K34" s="1021">
        <f>INDEX(TEMPLATE_NOTE_POINT_FHD,B34,MATCH(TEMPLATE_SPHERE,TEMPLATE_SPHERE_LIST_FOR_NOTE,0))</f>
        <v>0</v>
      </c>
      <c r="L34" s="860" t="str">
        <f>IF(I34=0,"",I34)</f>
        <v>2.7.1</v>
      </c>
      <c r="M34" s="860" t="str">
        <f>IF(J34=0,"",J34)</f>
        <v>Расходы на оплату труда административно-управленческого персонала</v>
      </c>
      <c r="N34" s="860" t="str">
        <f>IF(K34=0,"",K34)</f>
        <v/>
      </c>
      <c r="O34" s="973" t="s">
        <v>2225</v>
      </c>
      <c r="P34" s="973" t="s">
        <v>2207</v>
      </c>
      <c r="Q34" s="973" t="s">
        <v>2225</v>
      </c>
      <c r="R34" s="973" t="s">
        <v>2207</v>
      </c>
      <c r="S34" s="973"/>
      <c r="T34" s="982" t="s">
        <v>2226</v>
      </c>
      <c r="U34" s="862" t="s">
        <v>2226</v>
      </c>
      <c r="V34" s="862" t="s">
        <v>2226</v>
      </c>
      <c r="W34" s="862" t="s">
        <v>2227</v>
      </c>
      <c r="X34" s="859"/>
      <c r="Y34" s="1016"/>
      <c r="Z34" s="862"/>
      <c r="AA34" s="865"/>
      <c r="AB34" s="862"/>
      <c r="AC34" s="862"/>
      <c r="AD34" s="862"/>
    </row>
    <row customHeight="1" ht="45">
      <c r="A35" s="861"/>
      <c r="B35" s="915">
        <v>18</v>
      </c>
      <c r="C35" s="859" t="s">
        <v>2228</v>
      </c>
      <c r="D35" s="983"/>
      <c r="E35" s="859"/>
      <c r="F35" s="859"/>
      <c r="G35" s="907"/>
      <c r="H35" s="974"/>
      <c r="I35" s="1021" t="str">
        <f>INDEX(TEMPLATE_NUMBER_POINT_FHD,B35,MATCH(TEMPLATE_SPHERE,TEMPLATE_SPHERE_LIST_FOR_NOTE,0))</f>
        <v>2.7.2</v>
      </c>
      <c r="J35" s="102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1">
        <f>INDEX(TEMPLATE_NOTE_POINT_FHD,B35,MATCH(TEMPLATE_SPHERE,TEMPLATE_SPHERE_LIST_FOR_NOTE,0))</f>
        <v>0</v>
      </c>
      <c r="L35" s="860" t="str">
        <f>IF(I35=0,"",I35)</f>
        <v>2.7.2</v>
      </c>
      <c r="M35" s="86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60" t="str">
        <f>IF(K35=0,"",K35)</f>
        <v/>
      </c>
      <c r="O35" s="973" t="s">
        <v>2229</v>
      </c>
      <c r="P35" s="973" t="s">
        <v>2209</v>
      </c>
      <c r="Q35" s="973" t="s">
        <v>2229</v>
      </c>
      <c r="R35" s="973" t="s">
        <v>2209</v>
      </c>
      <c r="S35" s="973"/>
      <c r="T35" s="98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2" t="s">
        <v>2230</v>
      </c>
      <c r="V35" s="862" t="s">
        <v>2230</v>
      </c>
      <c r="W35" s="862" t="s">
        <v>2230</v>
      </c>
      <c r="X35" s="859"/>
      <c r="Y35" s="1016"/>
      <c r="Z35" s="862"/>
      <c r="AA35" s="865"/>
      <c r="AB35" s="862"/>
      <c r="AC35" s="862"/>
      <c r="AD35" s="862"/>
    </row>
    <row customHeight="1" ht="18">
      <c r="A36" s="861"/>
      <c r="B36" s="915">
        <v>19</v>
      </c>
      <c r="C36" s="859">
        <v>11</v>
      </c>
      <c r="D36" s="983"/>
      <c r="E36" s="859"/>
      <c r="F36" s="859"/>
      <c r="G36" s="907"/>
      <c r="H36" s="974"/>
      <c r="I36" s="1021" t="str">
        <f>INDEX(TEMPLATE_NUMBER_POINT_FHD,B36,MATCH(TEMPLATE_SPHERE,TEMPLATE_SPHERE_LIST_FOR_NOTE,0))</f>
        <v>2.8</v>
      </c>
      <c r="J36" s="1021" t="str">
        <f>INDEX(TEMPLATE_DATA_POINT_FHD,B36,MATCH(TEMPLATE_SPHERE,TEMPLATE_SPHERE_LIST_FOR_NOTE,0))</f>
        <v>Расходы на амортизацию основных средств и нематериальных активов</v>
      </c>
      <c r="K36" s="1021">
        <f>INDEX(TEMPLATE_NOTE_POINT_FHD,B36,MATCH(TEMPLATE_SPHERE,TEMPLATE_SPHERE_LIST_FOR_NOTE,0))</f>
        <v>0</v>
      </c>
      <c r="L36" s="860" t="str">
        <f>IF(I36=0,"",I36)</f>
        <v>2.8</v>
      </c>
      <c r="M36" s="860" t="str">
        <f>IF(J36=0,"",J36)</f>
        <v>Расходы на амортизацию основных средств и нематериальных активов</v>
      </c>
      <c r="N36" s="860" t="str">
        <f>IF(K36=0,"",K36)</f>
        <v/>
      </c>
      <c r="O36" s="973" t="s">
        <v>894</v>
      </c>
      <c r="P36" s="973" t="s">
        <v>890</v>
      </c>
      <c r="Q36" s="973" t="s">
        <v>894</v>
      </c>
      <c r="R36" s="973" t="s">
        <v>890</v>
      </c>
      <c r="S36" s="973"/>
      <c r="T36" s="980" t="s">
        <v>2231</v>
      </c>
      <c r="U36" s="862" t="s">
        <v>2231</v>
      </c>
      <c r="V36" s="862" t="s">
        <v>2231</v>
      </c>
      <c r="W36" s="862" t="s">
        <v>2231</v>
      </c>
      <c r="X36" s="859"/>
      <c r="Y36" s="1016"/>
      <c r="Z36" s="862"/>
      <c r="AA36" s="865"/>
      <c r="AB36" s="862"/>
      <c r="AC36" s="862"/>
      <c r="AD36" s="862"/>
    </row>
    <row customHeight="1" ht="18">
      <c r="A37" s="861"/>
      <c r="B37" s="915">
        <v>20</v>
      </c>
      <c r="C37" s="859" t="s">
        <v>2232</v>
      </c>
      <c r="D37" s="983"/>
      <c r="E37" s="859"/>
      <c r="F37" s="859"/>
      <c r="G37" s="907"/>
      <c r="H37" s="974"/>
      <c r="I37" s="1021" t="str">
        <f>INDEX(TEMPLATE_NUMBER_POINT_FHD,B37,MATCH(TEMPLATE_SPHERE,TEMPLATE_SPHERE_LIST_FOR_NOTE,0))</f>
        <v>2.8.1</v>
      </c>
      <c r="J37" s="1021" t="str">
        <f>INDEX(TEMPLATE_DATA_POINT_FHD,B37,MATCH(TEMPLATE_SPHERE,TEMPLATE_SPHERE_LIST_FOR_NOTE,0))</f>
        <v>Расходы на амортизацию основных средств</v>
      </c>
      <c r="K37" s="1021">
        <f>INDEX(TEMPLATE_NOTE_POINT_FHD,B37,MATCH(TEMPLATE_SPHERE,TEMPLATE_SPHERE_LIST_FOR_NOTE,0))</f>
        <v>0</v>
      </c>
      <c r="L37" s="860" t="str">
        <f>IF(I37=0,"",I37)</f>
        <v>2.8.1</v>
      </c>
      <c r="M37" s="860" t="str">
        <f>IF(J37=0,"",J37)</f>
        <v>Расходы на амортизацию основных средств</v>
      </c>
      <c r="N37" s="860" t="str">
        <f>IF(K37=0,"",K37)</f>
        <v/>
      </c>
      <c r="O37" s="973" t="s">
        <v>2233</v>
      </c>
      <c r="P37" s="973" t="s">
        <v>2216</v>
      </c>
      <c r="Q37" s="973" t="s">
        <v>2233</v>
      </c>
      <c r="R37" s="973" t="s">
        <v>2216</v>
      </c>
      <c r="S37" s="973"/>
      <c r="T37" s="980" t="s">
        <v>2234</v>
      </c>
      <c r="U37" s="862" t="s">
        <v>2234</v>
      </c>
      <c r="V37" s="862" t="s">
        <v>2234</v>
      </c>
      <c r="W37" s="862" t="s">
        <v>2234</v>
      </c>
      <c r="X37" s="859"/>
      <c r="Y37" s="1016"/>
      <c r="Z37" s="862"/>
      <c r="AA37" s="865"/>
      <c r="AB37" s="862"/>
      <c r="AC37" s="862"/>
      <c r="AD37" s="862"/>
    </row>
    <row customHeight="1" ht="18">
      <c r="A38" s="861"/>
      <c r="B38" s="915">
        <v>21</v>
      </c>
      <c r="C38" s="859" t="s">
        <v>2235</v>
      </c>
      <c r="D38" s="983"/>
      <c r="E38" s="859"/>
      <c r="F38" s="859"/>
      <c r="G38" s="907"/>
      <c r="H38" s="974"/>
      <c r="I38" s="1021" t="str">
        <f>INDEX(TEMPLATE_NUMBER_POINT_FHD,B38,MATCH(TEMPLATE_SPHERE,TEMPLATE_SPHERE_LIST_FOR_NOTE,0))</f>
        <v>2.8.2</v>
      </c>
      <c r="J38" s="1021" t="str">
        <f>INDEX(TEMPLATE_DATA_POINT_FHD,B38,MATCH(TEMPLATE_SPHERE,TEMPLATE_SPHERE_LIST_FOR_NOTE,0))</f>
        <v>Расходы на амортизацию нематериальных активов</v>
      </c>
      <c r="K38" s="1021">
        <f>INDEX(TEMPLATE_NOTE_POINT_FHD,B38,MATCH(TEMPLATE_SPHERE,TEMPLATE_SPHERE_LIST_FOR_NOTE,0))</f>
        <v>0</v>
      </c>
      <c r="L38" s="860" t="str">
        <f>IF(I38=0,"",I38)</f>
        <v>2.8.2</v>
      </c>
      <c r="M38" s="860" t="str">
        <f>IF(J38=0,"",J38)</f>
        <v>Расходы на амортизацию нематериальных активов</v>
      </c>
      <c r="N38" s="860" t="str">
        <f>IF(K38=0,"",K38)</f>
        <v/>
      </c>
      <c r="O38" s="973" t="s">
        <v>2236</v>
      </c>
      <c r="P38" s="973" t="s">
        <v>2219</v>
      </c>
      <c r="Q38" s="973" t="s">
        <v>2236</v>
      </c>
      <c r="R38" s="973" t="s">
        <v>2219</v>
      </c>
      <c r="S38" s="973"/>
      <c r="T38" s="980" t="s">
        <v>2237</v>
      </c>
      <c r="U38" s="862" t="s">
        <v>2237</v>
      </c>
      <c r="V38" s="862" t="s">
        <v>2237</v>
      </c>
      <c r="W38" s="862" t="s">
        <v>2237</v>
      </c>
      <c r="X38" s="859"/>
      <c r="Y38" s="1016"/>
      <c r="Z38" s="862"/>
      <c r="AA38" s="865"/>
      <c r="AB38" s="862"/>
      <c r="AC38" s="862"/>
      <c r="AD38" s="862"/>
    </row>
    <row customHeight="1" ht="36">
      <c r="A39" s="861"/>
      <c r="B39" s="915">
        <v>22</v>
      </c>
      <c r="C39" s="859">
        <v>12</v>
      </c>
      <c r="D39" s="983"/>
      <c r="E39" s="859"/>
      <c r="F39" s="859"/>
      <c r="G39" s="907"/>
      <c r="H39" s="974"/>
      <c r="I39" s="1021" t="str">
        <f>INDEX(TEMPLATE_NUMBER_POINT_FHD,B39,MATCH(TEMPLATE_SPHERE,TEMPLATE_SPHERE_LIST_FOR_NOTE,0))</f>
        <v>2.9</v>
      </c>
      <c r="J39" s="1021" t="str">
        <f>INDEX(TEMPLATE_DATA_POINT_FHD,B39,MATCH(TEMPLATE_SPHERE,TEMPLATE_SPHERE_LIST_FOR_NOTE,0))</f>
        <v>Расходы на аренду имущества, используемого для осуществления регулируемого вида деятельности</v>
      </c>
      <c r="K39" s="1021">
        <f>INDEX(TEMPLATE_NOTE_POINT_FHD,B39,MATCH(TEMPLATE_SPHERE,TEMPLATE_SPHERE_LIST_FOR_NOTE,0))</f>
        <v>0</v>
      </c>
      <c r="L39" s="860" t="str">
        <f>IF(I39=0,"",I39)</f>
        <v>2.9</v>
      </c>
      <c r="M39" s="860" t="str">
        <f>IF(J39=0,"",J39)</f>
        <v>Расходы на аренду имущества, используемого для осуществления регулируемого вида деятельности</v>
      </c>
      <c r="N39" s="860" t="str">
        <f>IF(K39=0,"",K39)</f>
        <v/>
      </c>
      <c r="O39" s="973" t="s">
        <v>898</v>
      </c>
      <c r="P39" s="973" t="s">
        <v>892</v>
      </c>
      <c r="Q39" s="973" t="s">
        <v>898</v>
      </c>
      <c r="R39" s="973" t="s">
        <v>892</v>
      </c>
      <c r="S39" s="973"/>
      <c r="T39" s="980" t="s">
        <v>2238</v>
      </c>
      <c r="U39" s="862" t="s">
        <v>2239</v>
      </c>
      <c r="V39" s="862" t="s">
        <v>2240</v>
      </c>
      <c r="W39" s="862" t="s">
        <v>2241</v>
      </c>
      <c r="X39" s="859"/>
      <c r="Y39" s="1016"/>
      <c r="Z39" s="862"/>
      <c r="AA39" s="865"/>
      <c r="AB39" s="862"/>
      <c r="AC39" s="862"/>
      <c r="AD39" s="862"/>
    </row>
    <row customHeight="1" ht="18">
      <c r="A40" s="861"/>
      <c r="B40" s="915">
        <v>23</v>
      </c>
      <c r="C40" s="859">
        <v>13</v>
      </c>
      <c r="D40" s="983"/>
      <c r="E40" s="859"/>
      <c r="F40" s="859"/>
      <c r="G40" s="859"/>
      <c r="H40" s="910"/>
      <c r="I40" s="1021" t="str">
        <f>INDEX(TEMPLATE_NUMBER_POINT_FHD,B40,MATCH(TEMPLATE_SPHERE,TEMPLATE_SPHERE_LIST_FOR_NOTE,0))</f>
        <v>2.10</v>
      </c>
      <c r="J40" s="1021" t="str">
        <f>INDEX(TEMPLATE_DATA_POINT_FHD,B40,MATCH(TEMPLATE_SPHERE,TEMPLATE_SPHERE_LIST_FOR_NOTE,0))</f>
        <v>Общепроизводственные расходы, в том числе:</v>
      </c>
      <c r="K40" s="1021" t="str">
        <f>INDEX(TEMPLATE_NOTE_POINT_FHD,B40,MATCH(TEMPLATE_SPHERE,TEMPLATE_SPHERE_LIST_FOR_NOTE,0))</f>
        <v>Указывается общая сумма общепроизводственных расходов.</v>
      </c>
      <c r="L40" s="860" t="str">
        <f>IF(I40=0,"",I40)</f>
        <v>2.10</v>
      </c>
      <c r="M40" s="860" t="str">
        <f>IF(J40=0,"",J40)</f>
        <v>Общепроизводственные расходы, в том числе:</v>
      </c>
      <c r="N40" s="860" t="str">
        <f>IF(K40=0,"",K40)</f>
        <v>Указывается общая сумма общепроизводственных расходов.</v>
      </c>
      <c r="O40" s="973" t="s">
        <v>2242</v>
      </c>
      <c r="P40" s="973" t="s">
        <v>894</v>
      </c>
      <c r="Q40" s="973" t="s">
        <v>2242</v>
      </c>
      <c r="R40" s="973" t="s">
        <v>894</v>
      </c>
      <c r="S40" s="973"/>
      <c r="T40" s="859" t="s">
        <v>2243</v>
      </c>
      <c r="U40" s="859" t="s">
        <v>2243</v>
      </c>
      <c r="V40" s="859" t="s">
        <v>2243</v>
      </c>
      <c r="W40" s="859" t="s">
        <v>2243</v>
      </c>
      <c r="X40" s="859"/>
      <c r="Y40" s="1016"/>
      <c r="Z40" s="862" t="s">
        <v>2244</v>
      </c>
      <c r="AA40" s="865" t="s">
        <v>2244</v>
      </c>
      <c r="AB40" s="865" t="s">
        <v>2244</v>
      </c>
      <c r="AC40" s="865" t="s">
        <v>2244</v>
      </c>
      <c r="AD40" s="862"/>
    </row>
    <row customHeight="1" ht="27">
      <c r="A41" s="861"/>
      <c r="B41" s="915">
        <v>24</v>
      </c>
      <c r="C41" s="859" t="s">
        <v>2245</v>
      </c>
      <c r="D41" s="983"/>
      <c r="E41" s="859"/>
      <c r="F41" s="859"/>
      <c r="G41" s="859"/>
      <c r="H41" s="907"/>
      <c r="I41" s="1021" t="str">
        <f>INDEX(TEMPLATE_NUMBER_POINT_FHD,B41,MATCH(TEMPLATE_SPHERE,TEMPLATE_SPHERE_LIST_FOR_NOTE,0))</f>
        <v>2.10.1</v>
      </c>
      <c r="J41" s="1021" t="str">
        <f>INDEX(TEMPLATE_DATA_POINT_FHD,B41,MATCH(TEMPLATE_SPHERE,TEMPLATE_SPHERE_LIST_FOR_NOTE,0))</f>
        <v>Расходы на текущий ремонт</v>
      </c>
      <c r="K41" s="1021" t="str">
        <f>INDEX(TEMPLATE_NOTE_POINT_FHD,B41,MATCH(TEMPLATE_SPHERE,TEMPLATE_SPHERE_LIST_FOR_NOTE,0))</f>
        <v>Указываются расходы на текущий ремонт, отнесенные к общепроизводственным расходам.</v>
      </c>
      <c r="L41" s="860" t="str">
        <f>IF(I41=0,"",I41)</f>
        <v>2.10.1</v>
      </c>
      <c r="M41" s="860" t="str">
        <f>IF(J41=0,"",J41)</f>
        <v>Расходы на текущий ремонт</v>
      </c>
      <c r="N41" s="860" t="str">
        <f>IF(K41=0,"",K41)</f>
        <v>Указываются расходы на текущий ремонт, отнесенные к общепроизводственным расходам.</v>
      </c>
      <c r="O41" s="973" t="s">
        <v>2246</v>
      </c>
      <c r="P41" s="973" t="s">
        <v>2233</v>
      </c>
      <c r="Q41" s="973" t="s">
        <v>2246</v>
      </c>
      <c r="R41" s="973" t="s">
        <v>2233</v>
      </c>
      <c r="S41" s="973"/>
      <c r="T41" s="859" t="s">
        <v>2247</v>
      </c>
      <c r="U41" s="859" t="s">
        <v>2247</v>
      </c>
      <c r="V41" s="859" t="s">
        <v>2247</v>
      </c>
      <c r="W41" s="859" t="s">
        <v>2247</v>
      </c>
      <c r="X41" s="859"/>
      <c r="Y41" s="1016"/>
      <c r="Z41" s="862" t="s">
        <v>2248</v>
      </c>
      <c r="AA41" s="862" t="s">
        <v>2248</v>
      </c>
      <c r="AB41" s="862" t="s">
        <v>2248</v>
      </c>
      <c r="AC41" s="862" t="s">
        <v>2248</v>
      </c>
      <c r="AD41" s="862"/>
    </row>
    <row customHeight="1" ht="27">
      <c r="A42" s="861"/>
      <c r="B42" s="915">
        <v>25</v>
      </c>
      <c r="C42" s="859" t="s">
        <v>2249</v>
      </c>
      <c r="D42" s="983"/>
      <c r="E42" s="859"/>
      <c r="F42" s="859"/>
      <c r="G42" s="859"/>
      <c r="H42" s="907"/>
      <c r="I42" s="1021" t="str">
        <f>INDEX(TEMPLATE_NUMBER_POINT_FHD,B42,MATCH(TEMPLATE_SPHERE,TEMPLATE_SPHERE_LIST_FOR_NOTE,0))</f>
        <v>2.10.2</v>
      </c>
      <c r="J42" s="1021" t="str">
        <f>INDEX(TEMPLATE_DATA_POINT_FHD,B42,MATCH(TEMPLATE_SPHERE,TEMPLATE_SPHERE_LIST_FOR_NOTE,0))</f>
        <v>Расходы на капитальный ремонт</v>
      </c>
      <c r="K42" s="1021" t="str">
        <f>INDEX(TEMPLATE_NOTE_POINT_FHD,B42,MATCH(TEMPLATE_SPHERE,TEMPLATE_SPHERE_LIST_FOR_NOTE,0))</f>
        <v>Указываются расходы на капитальный ремонт, отнесенные к общепроизводственным расходам.</v>
      </c>
      <c r="L42" s="860" t="str">
        <f>IF(I42=0,"",I42)</f>
        <v>2.10.2</v>
      </c>
      <c r="M42" s="860" t="str">
        <f>IF(J42=0,"",J42)</f>
        <v>Расходы на капитальный ремонт</v>
      </c>
      <c r="N42" s="860" t="str">
        <f>IF(K42=0,"",K42)</f>
        <v>Указываются расходы на капитальный ремонт, отнесенные к общепроизводственным расходам.</v>
      </c>
      <c r="O42" s="973" t="s">
        <v>2250</v>
      </c>
      <c r="P42" s="973" t="s">
        <v>2236</v>
      </c>
      <c r="Q42" s="973" t="s">
        <v>2250</v>
      </c>
      <c r="R42" s="973" t="s">
        <v>2236</v>
      </c>
      <c r="S42" s="973"/>
      <c r="T42" s="859" t="s">
        <v>2251</v>
      </c>
      <c r="U42" s="859" t="s">
        <v>2251</v>
      </c>
      <c r="V42" s="859" t="s">
        <v>2251</v>
      </c>
      <c r="W42" s="859" t="s">
        <v>2251</v>
      </c>
      <c r="X42" s="859"/>
      <c r="Y42" s="1016"/>
      <c r="Z42" s="862" t="s">
        <v>2252</v>
      </c>
      <c r="AA42" s="862" t="s">
        <v>2252</v>
      </c>
      <c r="AB42" s="862" t="s">
        <v>2252</v>
      </c>
      <c r="AC42" s="862" t="s">
        <v>2252</v>
      </c>
      <c r="AD42" s="862"/>
    </row>
    <row customHeight="1" ht="18">
      <c r="A43" s="861"/>
      <c r="B43" s="915">
        <v>26</v>
      </c>
      <c r="C43" s="859">
        <v>14</v>
      </c>
      <c r="D43" s="983"/>
      <c r="E43" s="859"/>
      <c r="F43" s="859"/>
      <c r="G43" s="859"/>
      <c r="H43" s="907"/>
      <c r="I43" s="1021" t="str">
        <f>INDEX(TEMPLATE_NUMBER_POINT_FHD,B43,MATCH(TEMPLATE_SPHERE,TEMPLATE_SPHERE_LIST_FOR_NOTE,0))</f>
        <v>2.11</v>
      </c>
      <c r="J43" s="1021" t="str">
        <f>INDEX(TEMPLATE_DATA_POINT_FHD,B43,MATCH(TEMPLATE_SPHERE,TEMPLATE_SPHERE_LIST_FOR_NOTE,0))</f>
        <v>Общехозяйственные расходы, в том числе:</v>
      </c>
      <c r="K43" s="1021" t="str">
        <f>INDEX(TEMPLATE_NOTE_POINT_FHD,B43,MATCH(TEMPLATE_SPHERE,TEMPLATE_SPHERE_LIST_FOR_NOTE,0))</f>
        <v>Указывается общая сумма общехозяйственных расходов.</v>
      </c>
      <c r="L43" s="860" t="str">
        <f>IF(I43=0,"",I43)</f>
        <v>2.11</v>
      </c>
      <c r="M43" s="860" t="str">
        <f>IF(J43=0,"",J43)</f>
        <v>Общехозяйственные расходы, в том числе:</v>
      </c>
      <c r="N43" s="860" t="str">
        <f>IF(K43=0,"",K43)</f>
        <v>Указывается общая сумма общехозяйственных расходов.</v>
      </c>
      <c r="O43" s="973" t="s">
        <v>2253</v>
      </c>
      <c r="P43" s="973" t="s">
        <v>898</v>
      </c>
      <c r="Q43" s="973" t="s">
        <v>2253</v>
      </c>
      <c r="R43" s="973" t="s">
        <v>898</v>
      </c>
      <c r="S43" s="973"/>
      <c r="T43" s="859" t="s">
        <v>2254</v>
      </c>
      <c r="U43" s="859" t="s">
        <v>2254</v>
      </c>
      <c r="V43" s="859" t="s">
        <v>2254</v>
      </c>
      <c r="W43" s="859" t="s">
        <v>2254</v>
      </c>
      <c r="X43" s="859"/>
      <c r="Y43" s="1016"/>
      <c r="Z43" s="862" t="s">
        <v>2255</v>
      </c>
      <c r="AA43" s="862" t="s">
        <v>2255</v>
      </c>
      <c r="AB43" s="862" t="s">
        <v>2255</v>
      </c>
      <c r="AC43" s="862" t="s">
        <v>2255</v>
      </c>
      <c r="AD43" s="862"/>
    </row>
    <row customHeight="1" ht="27">
      <c r="A44" s="861"/>
      <c r="B44" s="915">
        <v>27</v>
      </c>
      <c r="C44" s="859" t="s">
        <v>2256</v>
      </c>
      <c r="D44" s="983"/>
      <c r="E44" s="859"/>
      <c r="F44" s="859"/>
      <c r="G44" s="859"/>
      <c r="H44" s="907"/>
      <c r="I44" s="1021" t="str">
        <f>INDEX(TEMPLATE_NUMBER_POINT_FHD,B44,MATCH(TEMPLATE_SPHERE,TEMPLATE_SPHERE_LIST_FOR_NOTE,0))</f>
        <v>2.11.1</v>
      </c>
      <c r="J44" s="1021" t="str">
        <f>INDEX(TEMPLATE_DATA_POINT_FHD,B44,MATCH(TEMPLATE_SPHERE,TEMPLATE_SPHERE_LIST_FOR_NOTE,0))</f>
        <v>Расходы на текущий ремонт</v>
      </c>
      <c r="K44" s="1021" t="str">
        <f>INDEX(TEMPLATE_NOTE_POINT_FHD,B44,MATCH(TEMPLATE_SPHERE,TEMPLATE_SPHERE_LIST_FOR_NOTE,0))</f>
        <v>Указываются расходы на текущий ремонт, отнесенные к общехозяйственным расходам.</v>
      </c>
      <c r="L44" s="860" t="str">
        <f>IF(I44=0,"",I44)</f>
        <v>2.11.1</v>
      </c>
      <c r="M44" s="860" t="str">
        <f>IF(J44=0,"",J44)</f>
        <v>Расходы на текущий ремонт</v>
      </c>
      <c r="N44" s="860" t="str">
        <f>IF(K44=0,"",K44)</f>
        <v>Указываются расходы на текущий ремонт, отнесенные к общехозяйственным расходам.</v>
      </c>
      <c r="O44" s="973" t="s">
        <v>2257</v>
      </c>
      <c r="P44" s="973" t="s">
        <v>2258</v>
      </c>
      <c r="Q44" s="973" t="s">
        <v>2257</v>
      </c>
      <c r="R44" s="973" t="s">
        <v>2258</v>
      </c>
      <c r="S44" s="973"/>
      <c r="T44" s="859" t="s">
        <v>2247</v>
      </c>
      <c r="U44" s="859" t="s">
        <v>2247</v>
      </c>
      <c r="V44" s="859" t="s">
        <v>2247</v>
      </c>
      <c r="W44" s="859" t="s">
        <v>2247</v>
      </c>
      <c r="X44" s="859"/>
      <c r="Y44" s="1016"/>
      <c r="Z44" s="862" t="s">
        <v>2259</v>
      </c>
      <c r="AA44" s="862" t="s">
        <v>2259</v>
      </c>
      <c r="AB44" s="862" t="s">
        <v>2259</v>
      </c>
      <c r="AC44" s="862" t="s">
        <v>2259</v>
      </c>
      <c r="AD44" s="862"/>
    </row>
    <row customHeight="1" ht="27">
      <c r="A45" s="861"/>
      <c r="B45" s="915">
        <v>28</v>
      </c>
      <c r="C45" s="859" t="s">
        <v>2260</v>
      </c>
      <c r="D45" s="983"/>
      <c r="E45" s="859"/>
      <c r="F45" s="859"/>
      <c r="G45" s="859"/>
      <c r="H45" s="907"/>
      <c r="I45" s="1021" t="str">
        <f>INDEX(TEMPLATE_NUMBER_POINT_FHD,B45,MATCH(TEMPLATE_SPHERE,TEMPLATE_SPHERE_LIST_FOR_NOTE,0))</f>
        <v>2.11.2</v>
      </c>
      <c r="J45" s="1021" t="str">
        <f>INDEX(TEMPLATE_DATA_POINT_FHD,B45,MATCH(TEMPLATE_SPHERE,TEMPLATE_SPHERE_LIST_FOR_NOTE,0))</f>
        <v>Расходы на капитальный ремонт</v>
      </c>
      <c r="K45" s="1021" t="str">
        <f>INDEX(TEMPLATE_NOTE_POINT_FHD,B45,MATCH(TEMPLATE_SPHERE,TEMPLATE_SPHERE_LIST_FOR_NOTE,0))</f>
        <v>Указываются расходы на капитальный ремонт, отнесенные к общехозяйственным расходам.</v>
      </c>
      <c r="L45" s="860" t="str">
        <f>IF(I45=0,"",I45)</f>
        <v>2.11.2</v>
      </c>
      <c r="M45" s="860" t="str">
        <f>IF(J45=0,"",J45)</f>
        <v>Расходы на капитальный ремонт</v>
      </c>
      <c r="N45" s="860" t="str">
        <f>IF(K45=0,"",K45)</f>
        <v>Указываются расходы на капитальный ремонт, отнесенные к общехозяйственным расходам.</v>
      </c>
      <c r="O45" s="973" t="s">
        <v>2261</v>
      </c>
      <c r="P45" s="973" t="s">
        <v>2262</v>
      </c>
      <c r="Q45" s="973" t="s">
        <v>2261</v>
      </c>
      <c r="R45" s="973" t="s">
        <v>2262</v>
      </c>
      <c r="S45" s="973"/>
      <c r="T45" s="859" t="s">
        <v>2251</v>
      </c>
      <c r="U45" s="859" t="s">
        <v>2251</v>
      </c>
      <c r="V45" s="859" t="s">
        <v>2251</v>
      </c>
      <c r="W45" s="859" t="s">
        <v>2251</v>
      </c>
      <c r="X45" s="859"/>
      <c r="Y45" s="1016"/>
      <c r="Z45" s="862" t="s">
        <v>2263</v>
      </c>
      <c r="AA45" s="862" t="s">
        <v>2263</v>
      </c>
      <c r="AB45" s="862" t="s">
        <v>2263</v>
      </c>
      <c r="AC45" s="862" t="s">
        <v>2263</v>
      </c>
      <c r="AD45" s="862"/>
    </row>
    <row customHeight="1" ht="54">
      <c r="A46" s="861"/>
      <c r="B46" s="915">
        <v>29</v>
      </c>
      <c r="C46" s="859">
        <v>15</v>
      </c>
      <c r="D46" s="983"/>
      <c r="E46" s="859"/>
      <c r="F46" s="859"/>
      <c r="G46" s="859"/>
      <c r="H46" s="907"/>
      <c r="I46" s="1021" t="str">
        <f>INDEX(TEMPLATE_NUMBER_POINT_FHD,B46,MATCH(TEMPLATE_SPHERE,TEMPLATE_SPHERE_LIST_FOR_NOTE,0))</f>
        <v>2.12</v>
      </c>
      <c r="J46" s="1021" t="str">
        <f>INDEX(TEMPLATE_DATA_POINT_FHD,B46,MATCH(TEMPLATE_SPHERE,TEMPLATE_SPHERE_LIST_FOR_NOTE,0))</f>
        <v>Расходы на капитальный и текущий ремонт основных средств</v>
      </c>
      <c r="K46" s="102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60" t="str">
        <f>IF(I46=0,"",I46)</f>
        <v>2.12</v>
      </c>
      <c r="M46" s="860" t="str">
        <f>IF(J46=0,"",J46)</f>
        <v>Расходы на капитальный и текущий ремонт основных средств</v>
      </c>
      <c r="N46" s="86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3" t="s">
        <v>2264</v>
      </c>
      <c r="P46" s="973" t="s">
        <v>2242</v>
      </c>
      <c r="Q46" s="973" t="s">
        <v>2264</v>
      </c>
      <c r="R46" s="973" t="s">
        <v>2242</v>
      </c>
      <c r="S46" s="973"/>
      <c r="T46" s="86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9" t="s">
        <v>2265</v>
      </c>
      <c r="V46" s="859" t="s">
        <v>2265</v>
      </c>
      <c r="W46" s="859" t="s">
        <v>2265</v>
      </c>
      <c r="X46" s="859"/>
      <c r="Y46" s="1016"/>
      <c r="Z46" s="862" t="s">
        <v>2266</v>
      </c>
      <c r="AA46" s="862" t="s">
        <v>2267</v>
      </c>
      <c r="AB46" s="862" t="s">
        <v>2267</v>
      </c>
      <c r="AC46" s="862" t="s">
        <v>2267</v>
      </c>
      <c r="AD46" s="862"/>
    </row>
    <row customHeight="1" ht="54">
      <c r="A47" s="861"/>
      <c r="B47" s="915">
        <v>30</v>
      </c>
      <c r="C47" s="859" t="s">
        <v>2268</v>
      </c>
      <c r="D47" s="983"/>
      <c r="E47" s="859"/>
      <c r="F47" s="859"/>
      <c r="G47" s="859"/>
      <c r="H47" s="907"/>
      <c r="I47" s="1021" t="str">
        <f>INDEX(TEMPLATE_NUMBER_POINT_FHD,B47,MATCH(TEMPLATE_SPHERE,TEMPLATE_SPHERE_LIST_FOR_NOTE,0))</f>
        <v>2.12.1</v>
      </c>
      <c r="J47" s="102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1">
        <f>INDEX(TEMPLATE_NOTE_POINT_FHD,B47,MATCH(TEMPLATE_SPHERE,TEMPLATE_SPHERE_LIST_FOR_NOTE,0))</f>
        <v>0</v>
      </c>
      <c r="L47" s="860" t="str">
        <f>IF(I47=0,"",I47)</f>
        <v>2.12.1</v>
      </c>
      <c r="M47" s="86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60" t="str">
        <f>IF(K47=0,"",K47)</f>
        <v/>
      </c>
      <c r="O47" s="973" t="s">
        <v>2269</v>
      </c>
      <c r="P47" s="973" t="s">
        <v>2246</v>
      </c>
      <c r="Q47" s="973" t="s">
        <v>2269</v>
      </c>
      <c r="R47" s="973" t="s">
        <v>2246</v>
      </c>
      <c r="S47" s="973"/>
      <c r="T47" s="859" t="s">
        <v>2270</v>
      </c>
      <c r="U47" s="859" t="s">
        <v>2270</v>
      </c>
      <c r="V47" s="859" t="s">
        <v>2270</v>
      </c>
      <c r="W47" s="859" t="s">
        <v>2270</v>
      </c>
      <c r="X47" s="859"/>
      <c r="Y47" s="1016"/>
      <c r="Z47" s="862"/>
      <c r="AA47" s="865"/>
      <c r="AB47" s="865"/>
      <c r="AC47" s="865"/>
      <c r="AD47" s="862"/>
    </row>
    <row customHeight="1" ht="54">
      <c r="A48" s="861"/>
      <c r="B48" s="915">
        <v>31</v>
      </c>
      <c r="C48" s="859">
        <v>16</v>
      </c>
      <c r="D48" s="983"/>
      <c r="E48" s="859"/>
      <c r="F48" s="859"/>
      <c r="G48" s="859"/>
      <c r="H48" s="907"/>
      <c r="I48" s="1021">
        <f>INDEX(TEMPLATE_NUMBER_POINT_FHD,B48,MATCH(TEMPLATE_SPHERE,TEMPLATE_SPHERE_LIST_FOR_NOTE,0))</f>
        <v>0</v>
      </c>
      <c r="J48" s="1021">
        <f>INDEX(TEMPLATE_DATA_POINT_FHD,B48,MATCH(TEMPLATE_SPHERE,TEMPLATE_SPHERE_LIST_FOR_NOTE,0))</f>
        <v>0</v>
      </c>
      <c r="K48" s="1021">
        <f>INDEX(TEMPLATE_NOTE_POINT_FHD,B48,MATCH(TEMPLATE_SPHERE,TEMPLATE_SPHERE_LIST_FOR_NOTE,0))</f>
        <v>0</v>
      </c>
      <c r="L48" s="860" t="str">
        <f>IF(I48=0,"",I48)</f>
        <v/>
      </c>
      <c r="M48" s="860" t="str">
        <f>IF(J48=0,"",J48)</f>
        <v/>
      </c>
      <c r="N48" s="860" t="str">
        <f>IF(K48=0,"",K48)</f>
        <v/>
      </c>
      <c r="O48" s="973"/>
      <c r="P48" s="973" t="s">
        <v>2253</v>
      </c>
      <c r="Q48" s="973" t="s">
        <v>2271</v>
      </c>
      <c r="R48" s="973" t="s">
        <v>2253</v>
      </c>
      <c r="S48" s="973"/>
      <c r="T48" s="859"/>
      <c r="U48" s="859" t="s">
        <v>2272</v>
      </c>
      <c r="V48" s="859" t="s">
        <v>2273</v>
      </c>
      <c r="W48" s="859" t="s">
        <v>2273</v>
      </c>
      <c r="X48" s="859"/>
      <c r="Y48" s="1016"/>
      <c r="Z48" s="862"/>
      <c r="AA48" s="865" t="s">
        <v>2267</v>
      </c>
      <c r="AB48" s="865" t="s">
        <v>2267</v>
      </c>
      <c r="AC48" s="865" t="s">
        <v>2267</v>
      </c>
      <c r="AD48" s="862"/>
    </row>
    <row customHeight="1" ht="54">
      <c r="A49" s="861"/>
      <c r="B49" s="915">
        <v>32</v>
      </c>
      <c r="C49" s="859" t="s">
        <v>2274</v>
      </c>
      <c r="D49" s="983"/>
      <c r="E49" s="859"/>
      <c r="F49" s="859"/>
      <c r="G49" s="859"/>
      <c r="H49" s="907"/>
      <c r="I49" s="1021">
        <f>INDEX(TEMPLATE_NUMBER_POINT_FHD,B49,MATCH(TEMPLATE_SPHERE,TEMPLATE_SPHERE_LIST_FOR_NOTE,0))</f>
        <v>0</v>
      </c>
      <c r="J49" s="1021">
        <f>INDEX(TEMPLATE_DATA_POINT_FHD,B49,MATCH(TEMPLATE_SPHERE,TEMPLATE_SPHERE_LIST_FOR_NOTE,0))</f>
        <v>0</v>
      </c>
      <c r="K49" s="1021">
        <f>INDEX(TEMPLATE_NOTE_POINT_FHD,B49,MATCH(TEMPLATE_SPHERE,TEMPLATE_SPHERE_LIST_FOR_NOTE,0))</f>
        <v>0</v>
      </c>
      <c r="L49" s="860" t="str">
        <f>IF(I49=0,"",I49)</f>
        <v/>
      </c>
      <c r="M49" s="860" t="str">
        <f>IF(J49=0,"",J49)</f>
        <v/>
      </c>
      <c r="N49" s="860" t="str">
        <f>IF(K49=0,"",K49)</f>
        <v/>
      </c>
      <c r="O49" s="973"/>
      <c r="P49" s="973" t="s">
        <v>2257</v>
      </c>
      <c r="Q49" s="973" t="s">
        <v>2275</v>
      </c>
      <c r="R49" s="973" t="s">
        <v>2257</v>
      </c>
      <c r="S49" s="973"/>
      <c r="T49" s="859"/>
      <c r="U49" s="859" t="s">
        <v>2270</v>
      </c>
      <c r="V49" s="859" t="s">
        <v>2270</v>
      </c>
      <c r="W49" s="859" t="s">
        <v>2270</v>
      </c>
      <c r="X49" s="859"/>
      <c r="Y49" s="1016"/>
      <c r="Z49" s="862"/>
      <c r="AA49" s="865"/>
      <c r="AB49" s="865"/>
      <c r="AC49" s="865"/>
      <c r="AD49" s="862"/>
    </row>
    <row customHeight="1" ht="126">
      <c r="A50" s="861"/>
      <c r="B50" s="915">
        <v>33</v>
      </c>
      <c r="C50" s="859">
        <v>17</v>
      </c>
      <c r="D50" s="983"/>
      <c r="E50" s="859"/>
      <c r="F50" s="859"/>
      <c r="G50" s="859"/>
      <c r="H50" s="907"/>
      <c r="I50" s="1021" t="str">
        <f>INDEX(TEMPLATE_NUMBER_POINT_FHD,B50,MATCH(TEMPLATE_SPHERE,TEMPLATE_SPHERE_LIST_FOR_NOTE,0))</f>
        <v>2.13</v>
      </c>
      <c r="J50" s="102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2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60" t="str">
        <f>IF(I50=0,"",I50)</f>
        <v>2.13</v>
      </c>
      <c r="M50" s="86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6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3" t="s">
        <v>2271</v>
      </c>
      <c r="P50" s="973" t="s">
        <v>2264</v>
      </c>
      <c r="Q50" s="973" t="s">
        <v>2276</v>
      </c>
      <c r="R50" s="973" t="s">
        <v>2264</v>
      </c>
      <c r="S50" s="973"/>
      <c r="T50" s="859" t="s">
        <v>2277</v>
      </c>
      <c r="U50" s="859" t="s">
        <v>2278</v>
      </c>
      <c r="V50" s="859" t="s">
        <v>2279</v>
      </c>
      <c r="W50" s="859" t="s">
        <v>2280</v>
      </c>
      <c r="X50" s="859"/>
      <c r="Y50" s="1016"/>
      <c r="Z50" s="862" t="s">
        <v>2281</v>
      </c>
      <c r="AA50" s="865" t="s">
        <v>2282</v>
      </c>
      <c r="AB50" s="865" t="s">
        <v>2282</v>
      </c>
      <c r="AC50" s="865" t="s">
        <v>2282</v>
      </c>
      <c r="AD50" s="862"/>
    </row>
    <row customHeight="1" ht="27">
      <c r="A51" s="861"/>
      <c r="B51" s="915">
        <v>34</v>
      </c>
      <c r="C51" s="859" t="s">
        <v>2283</v>
      </c>
      <c r="D51" s="983"/>
      <c r="E51" s="859"/>
      <c r="F51" s="859"/>
      <c r="G51" s="859"/>
      <c r="H51" s="907"/>
      <c r="I51" s="1021" t="str">
        <f>INDEX(TEMPLATE_NUMBER_POINT_FHD,B51,MATCH(TEMPLATE_SPHERE,TEMPLATE_SPHERE_LIST_FOR_NOTE,0))</f>
        <v>3</v>
      </c>
      <c r="J51" s="102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21">
        <f>INDEX(TEMPLATE_NOTE_POINT_FHD,B51,MATCH(TEMPLATE_SPHERE,TEMPLATE_SPHERE_LIST_FOR_NOTE,0))</f>
        <v>0</v>
      </c>
      <c r="L51" s="860" t="str">
        <f>IF(I51=0,"",I51)</f>
        <v>3</v>
      </c>
      <c r="M51" s="860" t="str">
        <f>IF(J51=0,"",J51)</f>
        <v>Валовая прибыль (убытки) от реализации товаров и оказания услуг по регулируемому виду деятельности</v>
      </c>
      <c r="N51" s="860" t="str">
        <f>IF(K51=0,"",K51)</f>
        <v/>
      </c>
      <c r="O51" s="973" t="s">
        <v>93</v>
      </c>
      <c r="P51" s="973"/>
      <c r="Q51" s="973"/>
      <c r="R51" s="973"/>
      <c r="S51" s="973"/>
      <c r="T51" s="859" t="s">
        <v>2284</v>
      </c>
      <c r="U51" s="859"/>
      <c r="V51" s="859"/>
      <c r="W51" s="859"/>
      <c r="X51" s="859"/>
      <c r="Y51" s="1016"/>
      <c r="Z51" s="862"/>
      <c r="AA51" s="865"/>
      <c r="AB51" s="865"/>
      <c r="AC51" s="865"/>
      <c r="AD51" s="862"/>
    </row>
    <row customHeight="1" ht="36">
      <c r="A52" s="861"/>
      <c r="B52" s="915">
        <v>35</v>
      </c>
      <c r="C52" s="859" t="s">
        <v>2177</v>
      </c>
      <c r="D52" s="983" t="s">
        <v>2177</v>
      </c>
      <c r="E52" s="859" t="s">
        <v>2177</v>
      </c>
      <c r="F52" s="859" t="s">
        <v>2177</v>
      </c>
      <c r="G52" s="859"/>
      <c r="H52" s="907"/>
      <c r="I52" s="1021" t="str">
        <f>INDEX(TEMPLATE_NUMBER_POINT_FHD,B52,MATCH(TEMPLATE_SPHERE,TEMPLATE_SPHERE_LIST_FOR_NOTE,0))</f>
        <v>4</v>
      </c>
      <c r="J52" s="1021" t="str">
        <f>INDEX(TEMPLATE_DATA_POINT_FHD,B52,MATCH(TEMPLATE_SPHERE,TEMPLATE_SPHERE_LIST_FOR_NOTE,0))</f>
        <v>Чистая прибыль, полученная от регулируемого вида деятельности, в том числе:</v>
      </c>
      <c r="K52" s="1021" t="str">
        <f>INDEX(TEMPLATE_NOTE_POINT_FHD,B52,MATCH(TEMPLATE_SPHERE,TEMPLATE_SPHERE_LIST_FOR_NOTE,0))</f>
        <v>Указывается общая сумма чистой прибыли, полученной от регулируемого вида деятельности.</v>
      </c>
      <c r="L52" s="860" t="str">
        <f>IF(I52=0,"",I52)</f>
        <v>4</v>
      </c>
      <c r="M52" s="860" t="str">
        <f>IF(J52=0,"",J52)</f>
        <v>Чистая прибыль, полученная от регулируемого вида деятельности, в том числе:</v>
      </c>
      <c r="N52" s="860" t="str">
        <f>IF(K52=0,"",K52)</f>
        <v>Указывается общая сумма чистой прибыли, полученной от регулируемого вида деятельности.</v>
      </c>
      <c r="O52" s="973" t="s">
        <v>94</v>
      </c>
      <c r="P52" s="973" t="s">
        <v>93</v>
      </c>
      <c r="Q52" s="973" t="s">
        <v>93</v>
      </c>
      <c r="R52" s="973" t="s">
        <v>93</v>
      </c>
      <c r="S52" s="973"/>
      <c r="T52" s="859" t="s">
        <v>2285</v>
      </c>
      <c r="U52" s="859" t="s">
        <v>2286</v>
      </c>
      <c r="V52" s="859" t="s">
        <v>2287</v>
      </c>
      <c r="W52" s="859" t="s">
        <v>2288</v>
      </c>
      <c r="X52" s="859"/>
      <c r="Y52" s="1016"/>
      <c r="Z52" s="862" t="s">
        <v>902</v>
      </c>
      <c r="AA52" s="865" t="s">
        <v>902</v>
      </c>
      <c r="AB52" s="865" t="s">
        <v>902</v>
      </c>
      <c r="AC52" s="865" t="s">
        <v>902</v>
      </c>
      <c r="AD52" s="862"/>
    </row>
    <row customHeight="1" ht="36">
      <c r="A53" s="861"/>
      <c r="B53" s="915">
        <v>36</v>
      </c>
      <c r="C53" s="859">
        <v>1</v>
      </c>
      <c r="D53" s="983"/>
      <c r="E53" s="859"/>
      <c r="F53" s="859"/>
      <c r="G53" s="859"/>
      <c r="H53" s="907"/>
      <c r="I53" s="1021" t="str">
        <f>INDEX(TEMPLATE_NUMBER_POINT_FHD,B53,MATCH(TEMPLATE_SPHERE,TEMPLATE_SPHERE_LIST_FOR_NOTE,0))</f>
        <v>4.1</v>
      </c>
      <c r="J53" s="102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1">
        <f>INDEX(TEMPLATE_NOTE_POINT_FHD,B53,MATCH(TEMPLATE_SPHERE,TEMPLATE_SPHERE_LIST_FOR_NOTE,0))</f>
        <v>0</v>
      </c>
      <c r="L53" s="860" t="str">
        <f>IF(I53=0,"",I53)</f>
        <v>4.1</v>
      </c>
      <c r="M53" s="86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60" t="str">
        <f>IF(K53=0,"",K53)</f>
        <v/>
      </c>
      <c r="O53" s="973" t="s">
        <v>906</v>
      </c>
      <c r="P53" s="973" t="s">
        <v>477</v>
      </c>
      <c r="Q53" s="973" t="s">
        <v>477</v>
      </c>
      <c r="R53" s="973" t="s">
        <v>477</v>
      </c>
      <c r="S53" s="973"/>
      <c r="T53" s="859" t="s">
        <v>2289</v>
      </c>
      <c r="U53" s="859" t="s">
        <v>2289</v>
      </c>
      <c r="V53" s="859" t="s">
        <v>2289</v>
      </c>
      <c r="W53" s="859" t="s">
        <v>2289</v>
      </c>
      <c r="X53" s="859"/>
      <c r="Y53" s="1016"/>
      <c r="Z53" s="862"/>
      <c r="AA53" s="865"/>
      <c r="AB53" s="862"/>
      <c r="AC53" s="862"/>
      <c r="AD53" s="862"/>
    </row>
    <row customHeight="1" ht="18">
      <c r="A54" s="861"/>
      <c r="B54" s="915">
        <v>37</v>
      </c>
      <c r="C54" s="859" t="s">
        <v>2183</v>
      </c>
      <c r="D54" s="983" t="s">
        <v>2183</v>
      </c>
      <c r="E54" s="859" t="s">
        <v>2183</v>
      </c>
      <c r="F54" s="859" t="s">
        <v>2183</v>
      </c>
      <c r="G54" s="859"/>
      <c r="H54" s="907"/>
      <c r="I54" s="1021" t="str">
        <f>INDEX(TEMPLATE_NUMBER_POINT_FHD,B54,MATCH(TEMPLATE_SPHERE,TEMPLATE_SPHERE_LIST_FOR_NOTE,0))</f>
        <v>5</v>
      </c>
      <c r="J54" s="1021" t="str">
        <f>INDEX(TEMPLATE_DATA_POINT_FHD,B54,MATCH(TEMPLATE_SPHERE,TEMPLATE_SPHERE_LIST_FOR_NOTE,0))</f>
        <v>Изменение стоимости основных фондов, в том числе:</v>
      </c>
      <c r="K54" s="1021" t="str">
        <f>INDEX(TEMPLATE_NOTE_POINT_FHD,B54,MATCH(TEMPLATE_SPHERE,TEMPLATE_SPHERE_LIST_FOR_NOTE,0))</f>
        <v>Указывается общее изменение стоимости основных фондов.</v>
      </c>
      <c r="L54" s="860" t="str">
        <f>IF(I54=0,"",I54)</f>
        <v>5</v>
      </c>
      <c r="M54" s="860" t="str">
        <f>IF(J54=0,"",J54)</f>
        <v>Изменение стоимости основных фондов, в том числе:</v>
      </c>
      <c r="N54" s="860" t="str">
        <f>IF(K54=0,"",K54)</f>
        <v>Указывается общее изменение стоимости основных фондов.</v>
      </c>
      <c r="O54" s="973" t="s">
        <v>122</v>
      </c>
      <c r="P54" s="973" t="s">
        <v>94</v>
      </c>
      <c r="Q54" s="973" t="s">
        <v>94</v>
      </c>
      <c r="R54" s="973" t="s">
        <v>94</v>
      </c>
      <c r="S54" s="973"/>
      <c r="T54" s="859" t="s">
        <v>904</v>
      </c>
      <c r="U54" s="859" t="s">
        <v>904</v>
      </c>
      <c r="V54" s="859" t="s">
        <v>904</v>
      </c>
      <c r="W54" s="859" t="s">
        <v>904</v>
      </c>
      <c r="X54" s="859"/>
      <c r="Y54" s="1016"/>
      <c r="Z54" s="862" t="s">
        <v>905</v>
      </c>
      <c r="AA54" s="862" t="s">
        <v>905</v>
      </c>
      <c r="AB54" s="862" t="s">
        <v>905</v>
      </c>
      <c r="AC54" s="862" t="s">
        <v>905</v>
      </c>
      <c r="AD54" s="862"/>
    </row>
    <row customHeight="1" ht="36">
      <c r="A55" s="861"/>
      <c r="B55" s="915">
        <v>38</v>
      </c>
      <c r="C55" s="859">
        <v>1</v>
      </c>
      <c r="D55" s="983"/>
      <c r="E55" s="859"/>
      <c r="F55" s="859"/>
      <c r="G55" s="859"/>
      <c r="H55" s="907"/>
      <c r="I55" s="1021" t="str">
        <f>INDEX(TEMPLATE_NUMBER_POINT_FHD,B55,MATCH(TEMPLATE_SPHERE,TEMPLATE_SPHERE_LIST_FOR_NOTE,0))</f>
        <v>5.1</v>
      </c>
      <c r="J55" s="1021" t="str">
        <f>INDEX(TEMPLATE_DATA_POINT_FHD,B55,MATCH(TEMPLATE_SPHERE,TEMPLATE_SPHERE_LIST_FOR_NOTE,0))</f>
        <v>Изменение стоимости основных фондов за счет:</v>
      </c>
      <c r="K55" s="102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60" t="str">
        <f>IF(I55=0,"",I55)</f>
        <v>5.1</v>
      </c>
      <c r="M55" s="860" t="str">
        <f>IF(J55=0,"",J55)</f>
        <v>Изменение стоимости основных фондов за счет:</v>
      </c>
      <c r="N55" s="860" t="str">
        <f>IF(K55=0,"",K55)</f>
        <v>Указываются общее изменение стоимости основных фондов за счет их ввода в эксплуатацию и вывода из эксплуатации.</v>
      </c>
      <c r="O55" s="973" t="s">
        <v>466</v>
      </c>
      <c r="P55" s="973" t="s">
        <v>906</v>
      </c>
      <c r="Q55" s="973" t="s">
        <v>906</v>
      </c>
      <c r="R55" s="973" t="s">
        <v>906</v>
      </c>
      <c r="S55" s="973"/>
      <c r="T55" s="86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9" t="s">
        <v>2290</v>
      </c>
      <c r="V55" s="859" t="s">
        <v>2290</v>
      </c>
      <c r="W55" s="859" t="s">
        <v>2290</v>
      </c>
      <c r="X55" s="859"/>
      <c r="Y55" s="1016"/>
      <c r="Z55" s="862" t="s">
        <v>2291</v>
      </c>
      <c r="AA55" s="862" t="s">
        <v>2291</v>
      </c>
      <c r="AB55" s="862" t="s">
        <v>2291</v>
      </c>
      <c r="AC55" s="862" t="s">
        <v>2291</v>
      </c>
      <c r="AD55" s="862"/>
    </row>
    <row customHeight="1" ht="27">
      <c r="A56" s="861"/>
      <c r="B56" s="915">
        <v>39</v>
      </c>
      <c r="C56" s="859" t="s">
        <v>1174</v>
      </c>
      <c r="D56" s="983"/>
      <c r="E56" s="859"/>
      <c r="F56" s="859"/>
      <c r="G56" s="859"/>
      <c r="H56" s="907"/>
      <c r="I56" s="1021" t="str">
        <f>INDEX(TEMPLATE_NUMBER_POINT_FHD,B56,MATCH(TEMPLATE_SPHERE,TEMPLATE_SPHERE_LIST_FOR_NOTE,0))</f>
        <v>5.1.1</v>
      </c>
      <c r="J56" s="1021" t="str">
        <f>INDEX(TEMPLATE_DATA_POINT_FHD,B56,MATCH(TEMPLATE_SPHERE,TEMPLATE_SPHERE_LIST_FOR_NOTE,0))</f>
        <v>Изменения стоимости основных фондов за счет их ввода в эксплуатацию</v>
      </c>
      <c r="K56" s="1021" t="str">
        <f>INDEX(TEMPLATE_NOTE_POINT_FHD,B56,MATCH(TEMPLATE_SPHERE,TEMPLATE_SPHERE_LIST_FOR_NOTE,0))</f>
        <v>Указываются изменение стоимости основных фондов за счет их ввода в эксплуатацию.</v>
      </c>
      <c r="L56" s="860" t="str">
        <f>IF(I56=0,"",I56)</f>
        <v>5.1.1</v>
      </c>
      <c r="M56" s="860" t="str">
        <f>IF(J56=0,"",J56)</f>
        <v>Изменения стоимости основных фондов за счет их ввода в эксплуатацию</v>
      </c>
      <c r="N56" s="860" t="str">
        <f>IF(K56=0,"",K56)</f>
        <v>Указываются изменение стоимости основных фондов за счет их ввода в эксплуатацию.</v>
      </c>
      <c r="O56" s="973" t="s">
        <v>1295</v>
      </c>
      <c r="P56" s="973" t="s">
        <v>909</v>
      </c>
      <c r="Q56" s="973" t="s">
        <v>909</v>
      </c>
      <c r="R56" s="973" t="s">
        <v>909</v>
      </c>
      <c r="S56" s="973"/>
      <c r="T56" s="86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9" t="s">
        <v>2292</v>
      </c>
      <c r="V56" s="859" t="s">
        <v>2292</v>
      </c>
      <c r="W56" s="859" t="s">
        <v>2292</v>
      </c>
      <c r="X56" s="859"/>
      <c r="Y56" s="1016"/>
      <c r="Z56" s="862" t="s">
        <v>911</v>
      </c>
      <c r="AA56" s="862" t="s">
        <v>911</v>
      </c>
      <c r="AB56" s="862" t="s">
        <v>911</v>
      </c>
      <c r="AC56" s="862" t="s">
        <v>911</v>
      </c>
      <c r="AD56" s="862"/>
    </row>
    <row customHeight="1" ht="27">
      <c r="A57" s="861"/>
      <c r="B57" s="915">
        <v>40</v>
      </c>
      <c r="C57" s="859" t="s">
        <v>1176</v>
      </c>
      <c r="D57" s="983"/>
      <c r="E57" s="859"/>
      <c r="F57" s="859"/>
      <c r="G57" s="859"/>
      <c r="H57" s="907"/>
      <c r="I57" s="1021" t="str">
        <f>INDEX(TEMPLATE_NUMBER_POINT_FHD,B57,MATCH(TEMPLATE_SPHERE,TEMPLATE_SPHERE_LIST_FOR_NOTE,0))</f>
        <v>5.1.2</v>
      </c>
      <c r="J57" s="1021" t="str">
        <f>INDEX(TEMPLATE_DATA_POINT_FHD,B57,MATCH(TEMPLATE_SPHERE,TEMPLATE_SPHERE_LIST_FOR_NOTE,0))</f>
        <v>Изменения стоимости основных фондов за счет их вывода в эксплуатацию</v>
      </c>
      <c r="K57" s="1021" t="str">
        <f>INDEX(TEMPLATE_NOTE_POINT_FHD,B57,MATCH(TEMPLATE_SPHERE,TEMPLATE_SPHERE_LIST_FOR_NOTE,0))</f>
        <v>Указываются изменение стоимости основных фондов за счет их вывода из эксплуатации.</v>
      </c>
      <c r="L57" s="860" t="str">
        <f>IF(I57=0,"",I57)</f>
        <v>5.1.2</v>
      </c>
      <c r="M57" s="860" t="str">
        <f>IF(J57=0,"",J57)</f>
        <v>Изменения стоимости основных фондов за счет их вывода в эксплуатацию</v>
      </c>
      <c r="N57" s="860" t="str">
        <f>IF(K57=0,"",K57)</f>
        <v>Указываются изменение стоимости основных фондов за счет их вывода из эксплуатации.</v>
      </c>
      <c r="O57" s="973" t="s">
        <v>2293</v>
      </c>
      <c r="P57" s="973" t="s">
        <v>912</v>
      </c>
      <c r="Q57" s="973" t="s">
        <v>912</v>
      </c>
      <c r="R57" s="973" t="s">
        <v>912</v>
      </c>
      <c r="S57" s="973"/>
      <c r="T57" s="86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9" t="s">
        <v>2294</v>
      </c>
      <c r="V57" s="859" t="s">
        <v>2294</v>
      </c>
      <c r="W57" s="859" t="s">
        <v>2294</v>
      </c>
      <c r="X57" s="859"/>
      <c r="Y57" s="1016"/>
      <c r="Z57" s="862" t="s">
        <v>914</v>
      </c>
      <c r="AA57" s="862" t="s">
        <v>914</v>
      </c>
      <c r="AB57" s="862" t="s">
        <v>914</v>
      </c>
      <c r="AC57" s="862" t="s">
        <v>914</v>
      </c>
      <c r="AD57" s="862"/>
    </row>
    <row customHeight="1" ht="18">
      <c r="A58" s="861"/>
      <c r="B58" s="915">
        <v>41</v>
      </c>
      <c r="C58" s="859">
        <v>2</v>
      </c>
      <c r="D58" s="983"/>
      <c r="E58" s="859"/>
      <c r="F58" s="859"/>
      <c r="G58" s="859"/>
      <c r="H58" s="907"/>
      <c r="I58" s="1021" t="str">
        <f>INDEX(TEMPLATE_NUMBER_POINT_FHD,B58,MATCH(TEMPLATE_SPHERE,TEMPLATE_SPHERE_LIST_FOR_NOTE,0))</f>
        <v>5.2</v>
      </c>
      <c r="J58" s="1021" t="str">
        <f>INDEX(TEMPLATE_DATA_POINT_FHD,B58,MATCH(TEMPLATE_SPHERE,TEMPLATE_SPHERE_LIST_FOR_NOTE,0))</f>
        <v>Изменение стоимости основных фондов за счет их переоценки</v>
      </c>
      <c r="K58" s="1021">
        <f>INDEX(TEMPLATE_NOTE_POINT_FHD,B58,MATCH(TEMPLATE_SPHERE,TEMPLATE_SPHERE_LIST_FOR_NOTE,0))</f>
        <v>0</v>
      </c>
      <c r="L58" s="860" t="str">
        <f>IF(I58=0,"",I58)</f>
        <v>5.2</v>
      </c>
      <c r="M58" s="860" t="str">
        <f>IF(J58=0,"",J58)</f>
        <v>Изменение стоимости основных фондов за счет их переоценки</v>
      </c>
      <c r="N58" s="860" t="str">
        <f>IF(K58=0,"",K58)</f>
        <v/>
      </c>
      <c r="O58" s="973" t="s">
        <v>1034</v>
      </c>
      <c r="P58" s="973" t="s">
        <v>948</v>
      </c>
      <c r="Q58" s="973" t="s">
        <v>948</v>
      </c>
      <c r="R58" s="973" t="s">
        <v>948</v>
      </c>
      <c r="S58" s="973"/>
      <c r="T58" s="86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9" t="s">
        <v>2295</v>
      </c>
      <c r="V58" s="859" t="s">
        <v>2295</v>
      </c>
      <c r="W58" s="859" t="s">
        <v>2295</v>
      </c>
      <c r="X58" s="859"/>
      <c r="Y58" s="1016"/>
      <c r="Z58" s="862"/>
      <c r="AA58" s="865"/>
      <c r="AB58" s="862"/>
      <c r="AC58" s="862"/>
      <c r="AD58" s="862"/>
    </row>
    <row customHeight="1" ht="36">
      <c r="A59" s="861"/>
      <c r="B59" s="915">
        <v>42</v>
      </c>
      <c r="C59" s="859">
        <v>3</v>
      </c>
      <c r="D59" s="983" t="s">
        <v>2283</v>
      </c>
      <c r="E59" s="859" t="s">
        <v>2283</v>
      </c>
      <c r="F59" s="859" t="s">
        <v>2283</v>
      </c>
      <c r="G59" s="859"/>
      <c r="H59" s="907"/>
      <c r="I59" s="1021">
        <f>INDEX(TEMPLATE_NUMBER_POINT_FHD,B59,MATCH(TEMPLATE_SPHERE,TEMPLATE_SPHERE_LIST_FOR_NOTE,0))</f>
        <v>0</v>
      </c>
      <c r="J59" s="1021">
        <f>INDEX(TEMPLATE_DATA_POINT_FHD,B59,MATCH(TEMPLATE_SPHERE,TEMPLATE_SPHERE_LIST_FOR_NOTE,0))</f>
        <v>0</v>
      </c>
      <c r="K59" s="1021">
        <f>INDEX(TEMPLATE_NOTE_POINT_FHD,B59,MATCH(TEMPLATE_SPHERE,TEMPLATE_SPHERE_LIST_FOR_NOTE,0))</f>
        <v>0</v>
      </c>
      <c r="L59" s="860" t="str">
        <f>IF(I59=0,"",I59)</f>
        <v/>
      </c>
      <c r="M59" s="860" t="str">
        <f>IF(J59=0,"",J59)</f>
        <v/>
      </c>
      <c r="N59" s="860" t="str">
        <f>IF(K59=0,"",K59)</f>
        <v/>
      </c>
      <c r="O59" s="973"/>
      <c r="P59" s="973" t="s">
        <v>122</v>
      </c>
      <c r="Q59" s="973" t="s">
        <v>122</v>
      </c>
      <c r="R59" s="973" t="s">
        <v>122</v>
      </c>
      <c r="S59" s="973"/>
      <c r="T59" s="859"/>
      <c r="U59" s="859" t="s">
        <v>2296</v>
      </c>
      <c r="V59" s="859" t="s">
        <v>2297</v>
      </c>
      <c r="W59" s="859" t="s">
        <v>2298</v>
      </c>
      <c r="X59" s="859"/>
      <c r="Y59" s="1016"/>
      <c r="Z59" s="862"/>
      <c r="AA59" s="865"/>
      <c r="AB59" s="862"/>
      <c r="AC59" s="862"/>
      <c r="AD59" s="862"/>
    </row>
    <row customHeight="1" ht="81">
      <c r="A60" s="861"/>
      <c r="B60" s="915">
        <v>43</v>
      </c>
      <c r="C60" s="859" t="s">
        <v>2299</v>
      </c>
      <c r="D60" s="983" t="s">
        <v>2299</v>
      </c>
      <c r="E60" s="859" t="s">
        <v>2299</v>
      </c>
      <c r="F60" s="859" t="s">
        <v>2299</v>
      </c>
      <c r="G60" s="859"/>
      <c r="H60" s="907"/>
      <c r="I60" s="1021" t="str">
        <f>INDEX(TEMPLATE_NUMBER_POINT_FHD,B60,MATCH(TEMPLATE_SPHERE,TEMPLATE_SPHERE_LIST_FOR_NOTE,0))</f>
        <v>6</v>
      </c>
      <c r="J60" s="102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60" t="str">
        <f>IF(I60=0,"",I60)</f>
        <v>6</v>
      </c>
      <c r="M60" s="860" t="str">
        <f>IF(J60=0,"",J60)</f>
        <v>Годовая бухгалтерская (финансовая) отчетность, включая бухгалтерский баланс и приложения к нему</v>
      </c>
      <c r="N60" s="86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3" t="s">
        <v>95</v>
      </c>
      <c r="P60" s="973" t="s">
        <v>95</v>
      </c>
      <c r="Q60" s="973" t="s">
        <v>95</v>
      </c>
      <c r="R60" s="973" t="s">
        <v>95</v>
      </c>
      <c r="S60" s="973"/>
      <c r="T60" s="859" t="s">
        <v>782</v>
      </c>
      <c r="U60" s="859" t="s">
        <v>782</v>
      </c>
      <c r="V60" s="859" t="s">
        <v>782</v>
      </c>
      <c r="W60" s="859" t="s">
        <v>782</v>
      </c>
      <c r="X60" s="859"/>
      <c r="Y60" s="1016"/>
      <c r="Z60" s="862" t="s">
        <v>2300</v>
      </c>
      <c r="AA60" s="865" t="s">
        <v>2301</v>
      </c>
      <c r="AB60" s="862" t="s">
        <v>2302</v>
      </c>
      <c r="AC60" s="862" t="s">
        <v>2301</v>
      </c>
      <c r="AD60" s="862"/>
    </row>
    <row customHeight="1" ht="9">
      <c r="A61" s="861"/>
      <c r="B61" s="915">
        <v>44</v>
      </c>
      <c r="C61" s="859"/>
      <c r="D61" s="983" t="s">
        <v>2303</v>
      </c>
      <c r="E61" s="859"/>
      <c r="F61" s="859"/>
      <c r="G61" s="859"/>
      <c r="H61" s="907"/>
      <c r="I61" s="1021">
        <f>INDEX(TEMPLATE_NUMBER_POINT_FHD,B61,MATCH(TEMPLATE_SPHERE,TEMPLATE_SPHERE_LIST_FOR_NOTE,0))</f>
        <v>0</v>
      </c>
      <c r="J61" s="1021">
        <f>INDEX(TEMPLATE_DATA_POINT_FHD,B61,MATCH(TEMPLATE_SPHERE,TEMPLATE_SPHERE_LIST_FOR_NOTE,0))</f>
        <v>0</v>
      </c>
      <c r="K61" s="1021">
        <f>INDEX(TEMPLATE_NOTE_POINT_FHD,B61,MATCH(TEMPLATE_SPHERE,TEMPLATE_SPHERE_LIST_FOR_NOTE,0))</f>
        <v>0</v>
      </c>
      <c r="L61" s="860" t="str">
        <f>IF(I61=0,"",I61)</f>
        <v/>
      </c>
      <c r="M61" s="860" t="str">
        <f>IF(J61=0,"",J61)</f>
        <v/>
      </c>
      <c r="N61" s="860" t="str">
        <f>IF(K61=0,"",K61)</f>
        <v/>
      </c>
      <c r="O61" s="973"/>
      <c r="P61" s="973" t="s">
        <v>96</v>
      </c>
      <c r="Q61" s="973"/>
      <c r="R61" s="973"/>
      <c r="S61" s="973"/>
      <c r="T61" s="859"/>
      <c r="U61" s="859" t="s">
        <v>2304</v>
      </c>
      <c r="V61" s="859"/>
      <c r="W61" s="859"/>
      <c r="X61" s="859"/>
      <c r="Y61" s="1016"/>
      <c r="Z61" s="862"/>
      <c r="AA61" s="865"/>
      <c r="AB61" s="862"/>
      <c r="AC61" s="862"/>
      <c r="AD61" s="862"/>
    </row>
    <row customHeight="1" ht="9">
      <c r="A62" s="861"/>
      <c r="B62" s="915">
        <v>45</v>
      </c>
      <c r="C62" s="859"/>
      <c r="D62" s="983" t="s">
        <v>2305</v>
      </c>
      <c r="E62" s="859"/>
      <c r="F62" s="859"/>
      <c r="G62" s="859"/>
      <c r="H62" s="907"/>
      <c r="I62" s="1021">
        <f>INDEX(TEMPLATE_NUMBER_POINT_FHD,B62,MATCH(TEMPLATE_SPHERE,TEMPLATE_SPHERE_LIST_FOR_NOTE,0))</f>
        <v>0</v>
      </c>
      <c r="J62" s="1021">
        <f>INDEX(TEMPLATE_DATA_POINT_FHD,B62,MATCH(TEMPLATE_SPHERE,TEMPLATE_SPHERE_LIST_FOR_NOTE,0))</f>
        <v>0</v>
      </c>
      <c r="K62" s="1021">
        <f>INDEX(TEMPLATE_NOTE_POINT_FHD,B62,MATCH(TEMPLATE_SPHERE,TEMPLATE_SPHERE_LIST_FOR_NOTE,0))</f>
        <v>0</v>
      </c>
      <c r="L62" s="860" t="str">
        <f>IF(I62=0,"",I62)</f>
        <v/>
      </c>
      <c r="M62" s="860" t="str">
        <f>IF(J62=0,"",J62)</f>
        <v/>
      </c>
      <c r="N62" s="860" t="str">
        <f>IF(K62=0,"",K62)</f>
        <v/>
      </c>
      <c r="O62" s="973"/>
      <c r="P62" s="973" t="s">
        <v>134</v>
      </c>
      <c r="Q62" s="973"/>
      <c r="R62" s="973"/>
      <c r="S62" s="973"/>
      <c r="T62" s="859"/>
      <c r="U62" s="859" t="s">
        <v>2306</v>
      </c>
      <c r="V62" s="859"/>
      <c r="W62" s="859"/>
      <c r="X62" s="859"/>
      <c r="Y62" s="1016"/>
      <c r="Z62" s="862"/>
      <c r="AA62" s="865"/>
      <c r="AB62" s="862"/>
      <c r="AC62" s="862"/>
      <c r="AD62" s="862"/>
    </row>
    <row customHeight="1" ht="18">
      <c r="A63" s="861"/>
      <c r="B63" s="915">
        <v>46</v>
      </c>
      <c r="C63" s="859"/>
      <c r="D63" s="983" t="s">
        <v>2307</v>
      </c>
      <c r="E63" s="859"/>
      <c r="F63" s="859"/>
      <c r="G63" s="859"/>
      <c r="H63" s="907"/>
      <c r="I63" s="1021">
        <f>INDEX(TEMPLATE_NUMBER_POINT_FHD,B63,MATCH(TEMPLATE_SPHERE,TEMPLATE_SPHERE_LIST_FOR_NOTE,0))</f>
        <v>0</v>
      </c>
      <c r="J63" s="1021">
        <f>INDEX(TEMPLATE_DATA_POINT_FHD,B63,MATCH(TEMPLATE_SPHERE,TEMPLATE_SPHERE_LIST_FOR_NOTE,0))</f>
        <v>0</v>
      </c>
      <c r="K63" s="1021">
        <f>INDEX(TEMPLATE_NOTE_POINT_FHD,B63,MATCH(TEMPLATE_SPHERE,TEMPLATE_SPHERE_LIST_FOR_NOTE,0))</f>
        <v>0</v>
      </c>
      <c r="L63" s="860" t="str">
        <f>IF(I63=0,"",I63)</f>
        <v/>
      </c>
      <c r="M63" s="860" t="str">
        <f>IF(J63=0,"",J63)</f>
        <v/>
      </c>
      <c r="N63" s="860" t="str">
        <f>IF(K63=0,"",K63)</f>
        <v/>
      </c>
      <c r="O63" s="973"/>
      <c r="P63" s="973" t="s">
        <v>139</v>
      </c>
      <c r="Q63" s="973"/>
      <c r="R63" s="973"/>
      <c r="S63" s="973"/>
      <c r="T63" s="859"/>
      <c r="U63" s="859" t="s">
        <v>2308</v>
      </c>
      <c r="V63" s="859"/>
      <c r="W63" s="859"/>
      <c r="X63" s="859"/>
      <c r="Y63" s="1016"/>
      <c r="Z63" s="862"/>
      <c r="AA63" s="865"/>
      <c r="AB63" s="862"/>
      <c r="AC63" s="862"/>
      <c r="AD63" s="862"/>
    </row>
    <row customHeight="1" ht="18">
      <c r="A64" s="861"/>
      <c r="B64" s="915">
        <v>47</v>
      </c>
      <c r="C64" s="859"/>
      <c r="D64" s="983" t="s">
        <v>2309</v>
      </c>
      <c r="E64" s="859"/>
      <c r="F64" s="859"/>
      <c r="G64" s="859"/>
      <c r="H64" s="907"/>
      <c r="I64" s="1021">
        <f>INDEX(TEMPLATE_NUMBER_POINT_FHD,B64,MATCH(TEMPLATE_SPHERE,TEMPLATE_SPHERE_LIST_FOR_NOTE,0))</f>
        <v>0</v>
      </c>
      <c r="J64" s="1021">
        <f>INDEX(TEMPLATE_DATA_POINT_FHD,B64,MATCH(TEMPLATE_SPHERE,TEMPLATE_SPHERE_LIST_FOR_NOTE,0))</f>
        <v>0</v>
      </c>
      <c r="K64" s="1021">
        <f>INDEX(TEMPLATE_NOTE_POINT_FHD,B64,MATCH(TEMPLATE_SPHERE,TEMPLATE_SPHERE_LIST_FOR_NOTE,0))</f>
        <v>0</v>
      </c>
      <c r="L64" s="860" t="str">
        <f>IF(I64=0,"",I64)</f>
        <v/>
      </c>
      <c r="M64" s="860" t="str">
        <f>IF(J64=0,"",J64)</f>
        <v/>
      </c>
      <c r="N64" s="860" t="str">
        <f>IF(K64=0,"",K64)</f>
        <v/>
      </c>
      <c r="O64" s="973"/>
      <c r="P64" s="973" t="s">
        <v>144</v>
      </c>
      <c r="Q64" s="973"/>
      <c r="R64" s="973"/>
      <c r="S64" s="973"/>
      <c r="T64" s="859"/>
      <c r="U64" s="859" t="s">
        <v>2310</v>
      </c>
      <c r="V64" s="859"/>
      <c r="W64" s="859"/>
      <c r="X64" s="859"/>
      <c r="Y64" s="1016"/>
      <c r="Z64" s="862"/>
      <c r="AA64" s="865" t="s">
        <v>2311</v>
      </c>
      <c r="AB64" s="862"/>
      <c r="AC64" s="862"/>
      <c r="AD64" s="862"/>
    </row>
    <row customHeight="1" ht="18">
      <c r="A65" s="861"/>
      <c r="B65" s="915">
        <v>48</v>
      </c>
      <c r="C65" s="859"/>
      <c r="D65" s="983"/>
      <c r="E65" s="859"/>
      <c r="F65" s="859"/>
      <c r="G65" s="859"/>
      <c r="H65" s="907"/>
      <c r="I65" s="1021">
        <f>INDEX(TEMPLATE_NUMBER_POINT_FHD,B65,MATCH(TEMPLATE_SPHERE,TEMPLATE_SPHERE_LIST_FOR_NOTE,0))</f>
        <v>0</v>
      </c>
      <c r="J65" s="1021">
        <f>INDEX(TEMPLATE_DATA_POINT_FHD,B65,MATCH(TEMPLATE_SPHERE,TEMPLATE_SPHERE_LIST_FOR_NOTE,0))</f>
        <v>0</v>
      </c>
      <c r="K65" s="1021">
        <f>INDEX(TEMPLATE_NOTE_POINT_FHD,B65,MATCH(TEMPLATE_SPHERE,TEMPLATE_SPHERE_LIST_FOR_NOTE,0))</f>
        <v>0</v>
      </c>
      <c r="L65" s="860" t="str">
        <f>IF(I65=0,"",I65)</f>
        <v/>
      </c>
      <c r="M65" s="860" t="str">
        <f>IF(J65=0,"",J65)</f>
        <v/>
      </c>
      <c r="N65" s="860" t="str">
        <f>IF(K65=0,"",K65)</f>
        <v/>
      </c>
      <c r="O65" s="973"/>
      <c r="P65" s="973" t="s">
        <v>2224</v>
      </c>
      <c r="Q65" s="973"/>
      <c r="R65" s="973"/>
      <c r="S65" s="973"/>
      <c r="T65" s="859"/>
      <c r="U65" s="859" t="s">
        <v>2312</v>
      </c>
      <c r="V65" s="859"/>
      <c r="W65" s="859"/>
      <c r="X65" s="859"/>
      <c r="Y65" s="1016"/>
      <c r="Z65" s="862"/>
      <c r="AA65" s="865"/>
      <c r="AB65" s="862"/>
      <c r="AC65" s="862"/>
      <c r="AD65" s="862"/>
    </row>
    <row customHeight="1" ht="18">
      <c r="A66" s="861"/>
      <c r="B66" s="915">
        <v>49</v>
      </c>
      <c r="C66" s="859"/>
      <c r="D66" s="983"/>
      <c r="E66" s="859"/>
      <c r="F66" s="859"/>
      <c r="G66" s="859"/>
      <c r="H66" s="907"/>
      <c r="I66" s="1021">
        <f>INDEX(TEMPLATE_NUMBER_POINT_FHD,B66,MATCH(TEMPLATE_SPHERE,TEMPLATE_SPHERE_LIST_FOR_NOTE,0))</f>
        <v>0</v>
      </c>
      <c r="J66" s="1021">
        <f>INDEX(TEMPLATE_DATA_POINT_FHD,B66,MATCH(TEMPLATE_SPHERE,TEMPLATE_SPHERE_LIST_FOR_NOTE,0))</f>
        <v>0</v>
      </c>
      <c r="K66" s="1021">
        <f>INDEX(TEMPLATE_NOTE_POINT_FHD,B66,MATCH(TEMPLATE_SPHERE,TEMPLATE_SPHERE_LIST_FOR_NOTE,0))</f>
        <v>0</v>
      </c>
      <c r="L66" s="860" t="str">
        <f>IF(I66=0,"",I66)</f>
        <v/>
      </c>
      <c r="M66" s="860" t="str">
        <f>IF(J66=0,"",J66)</f>
        <v/>
      </c>
      <c r="N66" s="860" t="str">
        <f>IF(K66=0,"",K66)</f>
        <v/>
      </c>
      <c r="O66" s="973"/>
      <c r="P66" s="973" t="s">
        <v>2228</v>
      </c>
      <c r="Q66" s="973"/>
      <c r="R66" s="973"/>
      <c r="S66" s="973"/>
      <c r="T66" s="859"/>
      <c r="U66" s="859" t="s">
        <v>2313</v>
      </c>
      <c r="V66" s="859"/>
      <c r="W66" s="859"/>
      <c r="X66" s="859"/>
      <c r="Y66" s="1016"/>
      <c r="Z66" s="862"/>
      <c r="AA66" s="865"/>
      <c r="AB66" s="862"/>
      <c r="AC66" s="862"/>
      <c r="AD66" s="862"/>
    </row>
    <row customHeight="1" ht="27">
      <c r="A67" s="861"/>
      <c r="B67" s="915">
        <v>50</v>
      </c>
      <c r="C67" s="859"/>
      <c r="D67" s="983"/>
      <c r="E67" s="859"/>
      <c r="F67" s="859"/>
      <c r="G67" s="859"/>
      <c r="H67" s="907"/>
      <c r="I67" s="1021">
        <f>INDEX(TEMPLATE_NUMBER_POINT_FHD,B67,MATCH(TEMPLATE_SPHERE,TEMPLATE_SPHERE_LIST_FOR_NOTE,0))</f>
        <v>0</v>
      </c>
      <c r="J67" s="1021">
        <f>INDEX(TEMPLATE_DATA_POINT_FHD,B67,MATCH(TEMPLATE_SPHERE,TEMPLATE_SPHERE_LIST_FOR_NOTE,0))</f>
        <v>0</v>
      </c>
      <c r="K67" s="1021">
        <f>INDEX(TEMPLATE_NOTE_POINT_FHD,B67,MATCH(TEMPLATE_SPHERE,TEMPLATE_SPHERE_LIST_FOR_NOTE,0))</f>
        <v>0</v>
      </c>
      <c r="L67" s="860" t="str">
        <f>IF(I67=0,"",I67)</f>
        <v/>
      </c>
      <c r="M67" s="860" t="str">
        <f>IF(J67=0,"",J67)</f>
        <v/>
      </c>
      <c r="N67" s="860" t="str">
        <f>IF(K67=0,"",K67)</f>
        <v/>
      </c>
      <c r="O67" s="973"/>
      <c r="P67" s="973" t="s">
        <v>2314</v>
      </c>
      <c r="Q67" s="973"/>
      <c r="R67" s="973"/>
      <c r="S67" s="973"/>
      <c r="T67" s="859"/>
      <c r="U67" s="859" t="s">
        <v>2315</v>
      </c>
      <c r="V67" s="859"/>
      <c r="W67" s="859"/>
      <c r="X67" s="859"/>
      <c r="Y67" s="1016"/>
      <c r="Z67" s="862"/>
      <c r="AA67" s="865"/>
      <c r="AB67" s="862"/>
      <c r="AC67" s="862"/>
      <c r="AD67" s="862"/>
    </row>
    <row customHeight="1" ht="27">
      <c r="A68" s="861"/>
      <c r="B68" s="915">
        <v>51</v>
      </c>
      <c r="C68" s="859"/>
      <c r="D68" s="983"/>
      <c r="E68" s="859"/>
      <c r="F68" s="859"/>
      <c r="G68" s="859"/>
      <c r="H68" s="907"/>
      <c r="I68" s="1021">
        <f>INDEX(TEMPLATE_NUMBER_POINT_FHD,B68,MATCH(TEMPLATE_SPHERE,TEMPLATE_SPHERE_LIST_FOR_NOTE,0))</f>
        <v>0</v>
      </c>
      <c r="J68" s="1021">
        <f>INDEX(TEMPLATE_DATA_POINT_FHD,B68,MATCH(TEMPLATE_SPHERE,TEMPLATE_SPHERE_LIST_FOR_NOTE,0))</f>
        <v>0</v>
      </c>
      <c r="K68" s="1021">
        <f>INDEX(TEMPLATE_NOTE_POINT_FHD,B68,MATCH(TEMPLATE_SPHERE,TEMPLATE_SPHERE_LIST_FOR_NOTE,0))</f>
        <v>0</v>
      </c>
      <c r="L68" s="860" t="str">
        <f>IF(I68=0,"",I68)</f>
        <v/>
      </c>
      <c r="M68" s="860" t="str">
        <f>IF(J68=0,"",J68)</f>
        <v/>
      </c>
      <c r="N68" s="860" t="str">
        <f>IF(K68=0,"",K68)</f>
        <v/>
      </c>
      <c r="O68" s="973"/>
      <c r="P68" s="973" t="s">
        <v>2316</v>
      </c>
      <c r="Q68" s="973"/>
      <c r="R68" s="973"/>
      <c r="S68" s="973"/>
      <c r="T68" s="859"/>
      <c r="U68" s="859" t="s">
        <v>2317</v>
      </c>
      <c r="V68" s="859"/>
      <c r="W68" s="859"/>
      <c r="X68" s="859"/>
      <c r="Y68" s="1016"/>
      <c r="Z68" s="862"/>
      <c r="AA68" s="865"/>
      <c r="AB68" s="862"/>
      <c r="AC68" s="862"/>
      <c r="AD68" s="862"/>
    </row>
    <row customHeight="1" ht="9">
      <c r="A69" s="861"/>
      <c r="B69" s="915">
        <v>52</v>
      </c>
      <c r="C69" s="859"/>
      <c r="D69" s="983" t="s">
        <v>2318</v>
      </c>
      <c r="E69" s="859"/>
      <c r="F69" s="859"/>
      <c r="G69" s="859"/>
      <c r="H69" s="907"/>
      <c r="I69" s="1021">
        <f>INDEX(TEMPLATE_NUMBER_POINT_FHD,B69,MATCH(TEMPLATE_SPHERE,TEMPLATE_SPHERE_LIST_FOR_NOTE,0))</f>
        <v>0</v>
      </c>
      <c r="J69" s="1021">
        <f>INDEX(TEMPLATE_DATA_POINT_FHD,B69,MATCH(TEMPLATE_SPHERE,TEMPLATE_SPHERE_LIST_FOR_NOTE,0))</f>
        <v>0</v>
      </c>
      <c r="K69" s="1021">
        <f>INDEX(TEMPLATE_NOTE_POINT_FHD,B69,MATCH(TEMPLATE_SPHERE,TEMPLATE_SPHERE_LIST_FOR_NOTE,0))</f>
        <v>0</v>
      </c>
      <c r="L69" s="860" t="str">
        <f>IF(I69=0,"",I69)</f>
        <v/>
      </c>
      <c r="M69" s="860" t="str">
        <f>IF(J69=0,"",J69)</f>
        <v/>
      </c>
      <c r="N69" s="860" t="str">
        <f>IF(K69=0,"",K69)</f>
        <v/>
      </c>
      <c r="O69" s="973"/>
      <c r="P69" s="973" t="s">
        <v>150</v>
      </c>
      <c r="Q69" s="973"/>
      <c r="R69" s="973"/>
      <c r="S69" s="973"/>
      <c r="T69" s="859"/>
      <c r="U69" s="859" t="s">
        <v>2319</v>
      </c>
      <c r="V69" s="859"/>
      <c r="W69" s="859"/>
      <c r="X69" s="859"/>
      <c r="Y69" s="1016"/>
      <c r="Z69" s="862"/>
      <c r="AA69" s="865"/>
      <c r="AB69" s="862"/>
      <c r="AC69" s="862"/>
      <c r="AD69" s="862"/>
    </row>
    <row customHeight="1" ht="27">
      <c r="A70" s="861"/>
      <c r="B70" s="915">
        <v>53</v>
      </c>
      <c r="C70" s="859"/>
      <c r="D70" s="983"/>
      <c r="E70" s="859" t="s">
        <v>2303</v>
      </c>
      <c r="F70" s="859"/>
      <c r="G70" s="859"/>
      <c r="H70" s="907"/>
      <c r="I70" s="1021">
        <f>INDEX(TEMPLATE_NUMBER_POINT_FHD,B70,MATCH(TEMPLATE_SPHERE,TEMPLATE_SPHERE_LIST_FOR_NOTE,0))</f>
        <v>0</v>
      </c>
      <c r="J70" s="1021">
        <f>INDEX(TEMPLATE_DATA_POINT_FHD,B70,MATCH(TEMPLATE_SPHERE,TEMPLATE_SPHERE_LIST_FOR_NOTE,0))</f>
        <v>0</v>
      </c>
      <c r="K70" s="1021">
        <f>INDEX(TEMPLATE_NOTE_POINT_FHD,B70,MATCH(TEMPLATE_SPHERE,TEMPLATE_SPHERE_LIST_FOR_NOTE,0))</f>
        <v>0</v>
      </c>
      <c r="L70" s="860" t="str">
        <f>IF(I70=0,"",I70)</f>
        <v/>
      </c>
      <c r="M70" s="860" t="str">
        <f>IF(J70=0,"",J70)</f>
        <v/>
      </c>
      <c r="N70" s="860" t="str">
        <f>IF(K70=0,"",K70)</f>
        <v/>
      </c>
      <c r="O70" s="973"/>
      <c r="P70" s="973"/>
      <c r="Q70" s="973" t="s">
        <v>96</v>
      </c>
      <c r="R70" s="973"/>
      <c r="S70" s="973"/>
      <c r="T70" s="859"/>
      <c r="U70" s="859"/>
      <c r="V70" s="859" t="s">
        <v>2320</v>
      </c>
      <c r="W70" s="859"/>
      <c r="X70" s="859"/>
      <c r="Y70" s="1016"/>
      <c r="Z70" s="862"/>
      <c r="AA70" s="865"/>
      <c r="AB70" s="862"/>
      <c r="AC70" s="862"/>
      <c r="AD70" s="862"/>
    </row>
    <row customHeight="1" ht="36">
      <c r="A71" s="861"/>
      <c r="B71" s="915">
        <v>54</v>
      </c>
      <c r="C71" s="859"/>
      <c r="D71" s="983"/>
      <c r="E71" s="859" t="s">
        <v>2305</v>
      </c>
      <c r="F71" s="859"/>
      <c r="G71" s="859"/>
      <c r="H71" s="907"/>
      <c r="I71" s="1021">
        <f>INDEX(TEMPLATE_NUMBER_POINT_FHD,B71,MATCH(TEMPLATE_SPHERE,TEMPLATE_SPHERE_LIST_FOR_NOTE,0))</f>
        <v>0</v>
      </c>
      <c r="J71" s="1021">
        <f>INDEX(TEMPLATE_DATA_POINT_FHD,B71,MATCH(TEMPLATE_SPHERE,TEMPLATE_SPHERE_LIST_FOR_NOTE,0))</f>
        <v>0</v>
      </c>
      <c r="K71" s="1021">
        <f>INDEX(TEMPLATE_NOTE_POINT_FHD,B71,MATCH(TEMPLATE_SPHERE,TEMPLATE_SPHERE_LIST_FOR_NOTE,0))</f>
        <v>0</v>
      </c>
      <c r="L71" s="860" t="str">
        <f>IF(I71=0,"",I71)</f>
        <v/>
      </c>
      <c r="M71" s="860" t="str">
        <f>IF(J71=0,"",J71)</f>
        <v/>
      </c>
      <c r="N71" s="860" t="str">
        <f>IF(K71=0,"",K71)</f>
        <v/>
      </c>
      <c r="O71" s="973"/>
      <c r="P71" s="973"/>
      <c r="Q71" s="973" t="s">
        <v>134</v>
      </c>
      <c r="R71" s="973"/>
      <c r="S71" s="973"/>
      <c r="T71" s="859"/>
      <c r="U71" s="859"/>
      <c r="V71" s="859" t="s">
        <v>2321</v>
      </c>
      <c r="W71" s="859"/>
      <c r="X71" s="859"/>
      <c r="Y71" s="1016"/>
      <c r="Z71" s="862"/>
      <c r="AA71" s="865"/>
      <c r="AB71" s="862"/>
      <c r="AC71" s="862"/>
      <c r="AD71" s="862"/>
    </row>
    <row customHeight="1" ht="27">
      <c r="A72" s="861"/>
      <c r="B72" s="915">
        <v>55</v>
      </c>
      <c r="C72" s="859"/>
      <c r="D72" s="983"/>
      <c r="E72" s="859" t="s">
        <v>2307</v>
      </c>
      <c r="F72" s="859"/>
      <c r="G72" s="859"/>
      <c r="H72" s="907"/>
      <c r="I72" s="1021">
        <f>INDEX(TEMPLATE_NUMBER_POINT_FHD,B72,MATCH(TEMPLATE_SPHERE,TEMPLATE_SPHERE_LIST_FOR_NOTE,0))</f>
        <v>0</v>
      </c>
      <c r="J72" s="1021">
        <f>INDEX(TEMPLATE_DATA_POINT_FHD,B72,MATCH(TEMPLATE_SPHERE,TEMPLATE_SPHERE_LIST_FOR_NOTE,0))</f>
        <v>0</v>
      </c>
      <c r="K72" s="1021">
        <f>INDEX(TEMPLATE_NOTE_POINT_FHD,B72,MATCH(TEMPLATE_SPHERE,TEMPLATE_SPHERE_LIST_FOR_NOTE,0))</f>
        <v>0</v>
      </c>
      <c r="L72" s="860" t="str">
        <f>IF(I72=0,"",I72)</f>
        <v/>
      </c>
      <c r="M72" s="860" t="str">
        <f>IF(J72=0,"",J72)</f>
        <v/>
      </c>
      <c r="N72" s="860" t="str">
        <f>IF(K72=0,"",K72)</f>
        <v/>
      </c>
      <c r="O72" s="973"/>
      <c r="P72" s="973"/>
      <c r="Q72" s="973" t="s">
        <v>139</v>
      </c>
      <c r="R72" s="973"/>
      <c r="S72" s="973"/>
      <c r="T72" s="859"/>
      <c r="U72" s="859"/>
      <c r="V72" s="859" t="s">
        <v>2322</v>
      </c>
      <c r="W72" s="859"/>
      <c r="X72" s="859"/>
      <c r="Y72" s="1016"/>
      <c r="Z72" s="862"/>
      <c r="AA72" s="865"/>
      <c r="AB72" s="862"/>
      <c r="AC72" s="862"/>
      <c r="AD72" s="862"/>
    </row>
    <row customHeight="1" ht="36">
      <c r="A73" s="861"/>
      <c r="B73" s="915">
        <v>56</v>
      </c>
      <c r="C73" s="859"/>
      <c r="D73" s="983"/>
      <c r="E73" s="859" t="s">
        <v>2309</v>
      </c>
      <c r="F73" s="859"/>
      <c r="G73" s="859"/>
      <c r="H73" s="907"/>
      <c r="I73" s="1021">
        <f>INDEX(TEMPLATE_NUMBER_POINT_FHD,B73,MATCH(TEMPLATE_SPHERE,TEMPLATE_SPHERE_LIST_FOR_NOTE,0))</f>
        <v>0</v>
      </c>
      <c r="J73" s="1021">
        <f>INDEX(TEMPLATE_DATA_POINT_FHD,B73,MATCH(TEMPLATE_SPHERE,TEMPLATE_SPHERE_LIST_FOR_NOTE,0))</f>
        <v>0</v>
      </c>
      <c r="K73" s="1021">
        <f>INDEX(TEMPLATE_NOTE_POINT_FHD,B73,MATCH(TEMPLATE_SPHERE,TEMPLATE_SPHERE_LIST_FOR_NOTE,0))</f>
        <v>0</v>
      </c>
      <c r="L73" s="860" t="str">
        <f>IF(I73=0,"",I73)</f>
        <v/>
      </c>
      <c r="M73" s="860" t="str">
        <f>IF(J73=0,"",J73)</f>
        <v/>
      </c>
      <c r="N73" s="860" t="str">
        <f>IF(K73=0,"",K73)</f>
        <v/>
      </c>
      <c r="O73" s="973"/>
      <c r="P73" s="973"/>
      <c r="Q73" s="973" t="s">
        <v>144</v>
      </c>
      <c r="R73" s="973"/>
      <c r="S73" s="973"/>
      <c r="T73" s="859"/>
      <c r="U73" s="859"/>
      <c r="V73" s="859" t="s">
        <v>2323</v>
      </c>
      <c r="W73" s="859"/>
      <c r="X73" s="859"/>
      <c r="Y73" s="1016"/>
      <c r="Z73" s="862"/>
      <c r="AA73" s="865"/>
      <c r="AB73" s="862"/>
      <c r="AC73" s="862"/>
      <c r="AD73" s="862"/>
    </row>
    <row customHeight="1" ht="18">
      <c r="A74" s="861"/>
      <c r="B74" s="915">
        <v>57</v>
      </c>
      <c r="C74" s="859"/>
      <c r="D74" s="983"/>
      <c r="E74" s="859" t="s">
        <v>2318</v>
      </c>
      <c r="F74" s="859"/>
      <c r="G74" s="859"/>
      <c r="H74" s="907"/>
      <c r="I74" s="1021">
        <f>INDEX(TEMPLATE_NUMBER_POINT_FHD,B74,MATCH(TEMPLATE_SPHERE,TEMPLATE_SPHERE_LIST_FOR_NOTE,0))</f>
        <v>0</v>
      </c>
      <c r="J74" s="1021">
        <f>INDEX(TEMPLATE_DATA_POINT_FHD,B74,MATCH(TEMPLATE_SPHERE,TEMPLATE_SPHERE_LIST_FOR_NOTE,0))</f>
        <v>0</v>
      </c>
      <c r="K74" s="1021">
        <f>INDEX(TEMPLATE_NOTE_POINT_FHD,B74,MATCH(TEMPLATE_SPHERE,TEMPLATE_SPHERE_LIST_FOR_NOTE,0))</f>
        <v>0</v>
      </c>
      <c r="L74" s="860" t="str">
        <f>IF(I74=0,"",I74)</f>
        <v/>
      </c>
      <c r="M74" s="860" t="str">
        <f>IF(J74=0,"",J74)</f>
        <v/>
      </c>
      <c r="N74" s="860" t="str">
        <f>IF(K74=0,"",K74)</f>
        <v/>
      </c>
      <c r="O74" s="973"/>
      <c r="P74" s="973"/>
      <c r="Q74" s="973" t="s">
        <v>150</v>
      </c>
      <c r="R74" s="973"/>
      <c r="S74" s="973"/>
      <c r="T74" s="859"/>
      <c r="U74" s="859"/>
      <c r="V74" s="859" t="s">
        <v>2324</v>
      </c>
      <c r="W74" s="859"/>
      <c r="X74" s="859"/>
      <c r="Y74" s="1016"/>
      <c r="Z74" s="862"/>
      <c r="AA74" s="865"/>
      <c r="AB74" s="862"/>
      <c r="AC74" s="862"/>
      <c r="AD74" s="862"/>
    </row>
    <row customHeight="1" ht="18">
      <c r="A75" s="861"/>
      <c r="B75" s="915">
        <v>58</v>
      </c>
      <c r="C75" s="859"/>
      <c r="D75" s="983"/>
      <c r="E75" s="859"/>
      <c r="F75" s="859" t="s">
        <v>2303</v>
      </c>
      <c r="G75" s="859"/>
      <c r="H75" s="907"/>
      <c r="I75" s="1021">
        <f>INDEX(TEMPLATE_NUMBER_POINT_FHD,B75,MATCH(TEMPLATE_SPHERE,TEMPLATE_SPHERE_LIST_FOR_NOTE,0))</f>
        <v>0</v>
      </c>
      <c r="J75" s="1021">
        <f>INDEX(TEMPLATE_DATA_POINT_FHD,B75,MATCH(TEMPLATE_SPHERE,TEMPLATE_SPHERE_LIST_FOR_NOTE,0))</f>
        <v>0</v>
      </c>
      <c r="K75" s="1021">
        <f>INDEX(TEMPLATE_NOTE_POINT_FHD,B75,MATCH(TEMPLATE_SPHERE,TEMPLATE_SPHERE_LIST_FOR_NOTE,0))</f>
        <v>0</v>
      </c>
      <c r="L75" s="860" t="str">
        <f>IF(I75=0,"",I75)</f>
        <v/>
      </c>
      <c r="M75" s="860" t="str">
        <f>IF(J75=0,"",J75)</f>
        <v/>
      </c>
      <c r="N75" s="860" t="str">
        <f>IF(K75=0,"",K75)</f>
        <v/>
      </c>
      <c r="O75" s="973"/>
      <c r="P75" s="973"/>
      <c r="Q75" s="973"/>
      <c r="R75" s="973" t="s">
        <v>96</v>
      </c>
      <c r="S75" s="973"/>
      <c r="T75" s="859"/>
      <c r="U75" s="859"/>
      <c r="V75" s="859"/>
      <c r="W75" s="859" t="s">
        <v>2325</v>
      </c>
      <c r="X75" s="859"/>
      <c r="Y75" s="1016"/>
      <c r="Z75" s="862"/>
      <c r="AA75" s="865"/>
      <c r="AB75" s="862"/>
      <c r="AC75" s="862"/>
      <c r="AD75" s="862"/>
    </row>
    <row customHeight="1" ht="36">
      <c r="A76" s="861"/>
      <c r="B76" s="915">
        <v>59</v>
      </c>
      <c r="C76" s="859"/>
      <c r="D76" s="983"/>
      <c r="E76" s="859"/>
      <c r="F76" s="859" t="s">
        <v>2305</v>
      </c>
      <c r="G76" s="859"/>
      <c r="H76" s="907"/>
      <c r="I76" s="1021">
        <f>INDEX(TEMPLATE_NUMBER_POINT_FHD,B76,MATCH(TEMPLATE_SPHERE,TEMPLATE_SPHERE_LIST_FOR_NOTE,0))</f>
        <v>0</v>
      </c>
      <c r="J76" s="1021">
        <f>INDEX(TEMPLATE_DATA_POINT_FHD,B76,MATCH(TEMPLATE_SPHERE,TEMPLATE_SPHERE_LIST_FOR_NOTE,0))</f>
        <v>0</v>
      </c>
      <c r="K76" s="1021">
        <f>INDEX(TEMPLATE_NOTE_POINT_FHD,B76,MATCH(TEMPLATE_SPHERE,TEMPLATE_SPHERE_LIST_FOR_NOTE,0))</f>
        <v>0</v>
      </c>
      <c r="L76" s="860" t="str">
        <f>IF(I76=0,"",I76)</f>
        <v/>
      </c>
      <c r="M76" s="860" t="str">
        <f>IF(J76=0,"",J76)</f>
        <v/>
      </c>
      <c r="N76" s="860" t="str">
        <f>IF(K76=0,"",K76)</f>
        <v/>
      </c>
      <c r="O76" s="973"/>
      <c r="P76" s="973"/>
      <c r="Q76" s="973"/>
      <c r="R76" s="973" t="s">
        <v>134</v>
      </c>
      <c r="S76" s="973"/>
      <c r="T76" s="859"/>
      <c r="U76" s="859"/>
      <c r="V76" s="859"/>
      <c r="W76" s="859" t="s">
        <v>2326</v>
      </c>
      <c r="X76" s="859"/>
      <c r="Y76" s="1016"/>
      <c r="Z76" s="862"/>
      <c r="AA76" s="865"/>
      <c r="AB76" s="862"/>
      <c r="AC76" s="862"/>
      <c r="AD76" s="862"/>
    </row>
    <row customHeight="1" ht="18">
      <c r="A77" s="861"/>
      <c r="B77" s="915">
        <v>60</v>
      </c>
      <c r="C77" s="859"/>
      <c r="D77" s="983"/>
      <c r="E77" s="859"/>
      <c r="F77" s="859" t="s">
        <v>2307</v>
      </c>
      <c r="G77" s="859"/>
      <c r="H77" s="907"/>
      <c r="I77" s="1021">
        <f>INDEX(TEMPLATE_NUMBER_POINT_FHD,B77,MATCH(TEMPLATE_SPHERE,TEMPLATE_SPHERE_LIST_FOR_NOTE,0))</f>
        <v>0</v>
      </c>
      <c r="J77" s="1021">
        <f>INDEX(TEMPLATE_DATA_POINT_FHD,B77,MATCH(TEMPLATE_SPHERE,TEMPLATE_SPHERE_LIST_FOR_NOTE,0))</f>
        <v>0</v>
      </c>
      <c r="K77" s="1021">
        <f>INDEX(TEMPLATE_NOTE_POINT_FHD,B77,MATCH(TEMPLATE_SPHERE,TEMPLATE_SPHERE_LIST_FOR_NOTE,0))</f>
        <v>0</v>
      </c>
      <c r="L77" s="860" t="str">
        <f>IF(I77=0,"",I77)</f>
        <v/>
      </c>
      <c r="M77" s="860" t="str">
        <f>IF(J77=0,"",J77)</f>
        <v/>
      </c>
      <c r="N77" s="860" t="str">
        <f>IF(K77=0,"",K77)</f>
        <v/>
      </c>
      <c r="O77" s="973"/>
      <c r="P77" s="973"/>
      <c r="Q77" s="973"/>
      <c r="R77" s="973" t="s">
        <v>139</v>
      </c>
      <c r="S77" s="973"/>
      <c r="T77" s="859"/>
      <c r="U77" s="859"/>
      <c r="V77" s="859"/>
      <c r="W77" s="859" t="s">
        <v>2327</v>
      </c>
      <c r="X77" s="859"/>
      <c r="Y77" s="1016"/>
      <c r="Z77" s="862"/>
      <c r="AA77" s="865"/>
      <c r="AB77" s="862"/>
      <c r="AC77" s="862"/>
      <c r="AD77" s="862"/>
    </row>
    <row customHeight="1" ht="72">
      <c r="A78" s="861"/>
      <c r="B78" s="915">
        <v>61</v>
      </c>
      <c r="C78" s="859" t="s">
        <v>2303</v>
      </c>
      <c r="D78" s="983"/>
      <c r="E78" s="859"/>
      <c r="F78" s="859"/>
      <c r="G78" s="859"/>
      <c r="H78" s="907"/>
      <c r="I78" s="1021" t="str">
        <f>INDEX(TEMPLATE_NUMBER_POINT_FHD,B78,MATCH(TEMPLATE_SPHERE,TEMPLATE_SPHERE_LIST_FOR_NOTE,0))</f>
        <v>7</v>
      </c>
      <c r="J78" s="102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2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60" t="str">
        <f>IF(I78=0,"",I78)</f>
        <v>7</v>
      </c>
      <c r="M78" s="86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6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3" t="s">
        <v>96</v>
      </c>
      <c r="P78" s="973"/>
      <c r="Q78" s="973"/>
      <c r="R78" s="973"/>
      <c r="S78" s="973"/>
      <c r="T78" s="859" t="s">
        <v>787</v>
      </c>
      <c r="U78" s="859"/>
      <c r="V78" s="859"/>
      <c r="W78" s="859"/>
      <c r="X78" s="859"/>
      <c r="Y78" s="1016"/>
      <c r="Z78" s="862" t="s">
        <v>2328</v>
      </c>
      <c r="AA78" s="865"/>
      <c r="AB78" s="862"/>
      <c r="AC78" s="862"/>
      <c r="AD78" s="862"/>
    </row>
    <row customHeight="1" ht="36">
      <c r="A79" s="861"/>
      <c r="B79" s="915">
        <v>62</v>
      </c>
      <c r="C79" s="859" t="s">
        <v>2305</v>
      </c>
      <c r="D79" s="983"/>
      <c r="E79" s="859"/>
      <c r="F79" s="859"/>
      <c r="G79" s="859"/>
      <c r="H79" s="907"/>
      <c r="I79" s="1021" t="str">
        <f>INDEX(TEMPLATE_NUMBER_POINT_FHD,B79,MATCH(TEMPLATE_SPHERE,TEMPLATE_SPHERE_LIST_FOR_NOTE,0))</f>
        <v>8</v>
      </c>
      <c r="J79" s="102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2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60" t="str">
        <f>IF(I79=0,"",I79)</f>
        <v>8</v>
      </c>
      <c r="M79" s="860" t="str">
        <f>IF(J79=0,"",J79)</f>
        <v>Тепловая нагрузка по договорам, заключенным в рамках осуществления регулируемых видов деятельности</v>
      </c>
      <c r="N79" s="86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3" t="s">
        <v>134</v>
      </c>
      <c r="P79" s="973"/>
      <c r="Q79" s="973"/>
      <c r="R79" s="973"/>
      <c r="S79" s="973"/>
      <c r="T79" s="859" t="s">
        <v>2329</v>
      </c>
      <c r="U79" s="859"/>
      <c r="V79" s="859"/>
      <c r="W79" s="859"/>
      <c r="X79" s="859"/>
      <c r="Y79" s="1016"/>
      <c r="Z79" s="862" t="s">
        <v>2330</v>
      </c>
      <c r="AA79" s="865"/>
      <c r="AB79" s="862"/>
      <c r="AC79" s="862"/>
      <c r="AD79" s="862"/>
    </row>
    <row customHeight="1" ht="45">
      <c r="A80" s="861"/>
      <c r="B80" s="915">
        <v>63</v>
      </c>
      <c r="C80" s="859" t="s">
        <v>2307</v>
      </c>
      <c r="D80" s="983"/>
      <c r="E80" s="859"/>
      <c r="F80" s="859"/>
      <c r="G80" s="859"/>
      <c r="H80" s="907"/>
      <c r="I80" s="1021" t="str">
        <f>INDEX(TEMPLATE_NUMBER_POINT_FHD,B80,MATCH(TEMPLATE_SPHERE,TEMPLATE_SPHERE_LIST_FOR_NOTE,0))</f>
        <v>9</v>
      </c>
      <c r="J80" s="102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2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60" t="str">
        <f>IF(I80=0,"",I80)</f>
        <v>9</v>
      </c>
      <c r="M80" s="860" t="str">
        <f>IF(J80=0,"",J80)</f>
        <v>Объем вырабатываемой регулируемой организацией тепловой энергии в рамках осуществления регулируемых видов деятельности</v>
      </c>
      <c r="N80" s="86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3" t="s">
        <v>139</v>
      </c>
      <c r="P80" s="973"/>
      <c r="Q80" s="973"/>
      <c r="R80" s="973"/>
      <c r="S80" s="973"/>
      <c r="T80" s="859" t="s">
        <v>2331</v>
      </c>
      <c r="U80" s="859"/>
      <c r="V80" s="859"/>
      <c r="W80" s="859"/>
      <c r="X80" s="859"/>
      <c r="Y80" s="1016"/>
      <c r="Z80" s="862" t="s">
        <v>2332</v>
      </c>
      <c r="AA80" s="865"/>
      <c r="AB80" s="862"/>
      <c r="AC80" s="862"/>
      <c r="AD80" s="862"/>
    </row>
    <row customHeight="1" ht="36">
      <c r="A81" s="861"/>
      <c r="B81" s="915">
        <v>64</v>
      </c>
      <c r="C81" s="859" t="s">
        <v>2309</v>
      </c>
      <c r="D81" s="983"/>
      <c r="E81" s="859"/>
      <c r="F81" s="859"/>
      <c r="G81" s="859"/>
      <c r="H81" s="907"/>
      <c r="I81" s="1021" t="str">
        <f>INDEX(TEMPLATE_NUMBER_POINT_FHD,B81,MATCH(TEMPLATE_SPHERE,TEMPLATE_SPHERE_LIST_FOR_NOTE,0))</f>
        <v>9.1</v>
      </c>
      <c r="J81" s="102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21" t="str">
        <f>INDEX(TEMPLATE_NOTE_POINT_FHD,B81,MATCH(TEMPLATE_SPHERE,TEMPLATE_SPHERE_LIST_FOR_NOTE,0))</f>
        <v>Информация указывается только едиными теплоснабжающими организациями.</v>
      </c>
      <c r="L81" s="860" t="str">
        <f>IF(I81=0,"",I81)</f>
        <v>9.1</v>
      </c>
      <c r="M81" s="860" t="str">
        <f>IF(J81=0,"",J81)</f>
        <v>Объем приобретаемой регулируемой организацией тепловой энергии в рамках осуществления регулируемых видов деятельности</v>
      </c>
      <c r="N81" s="860" t="str">
        <f>IF(K81=0,"",K81)</f>
        <v>Информация указывается только едиными теплоснабжающими организациями.</v>
      </c>
      <c r="O81" s="973" t="s">
        <v>2215</v>
      </c>
      <c r="P81" s="973"/>
      <c r="Q81" s="973"/>
      <c r="R81" s="973"/>
      <c r="S81" s="973"/>
      <c r="T81" s="859" t="s">
        <v>2333</v>
      </c>
      <c r="U81" s="859"/>
      <c r="V81" s="859"/>
      <c r="W81" s="859"/>
      <c r="X81" s="859"/>
      <c r="Y81" s="1016"/>
      <c r="Z81" s="862" t="s">
        <v>2334</v>
      </c>
      <c r="AA81" s="865"/>
      <c r="AB81" s="862"/>
      <c r="AC81" s="862"/>
      <c r="AD81" s="862"/>
    </row>
    <row customHeight="1" ht="90">
      <c r="A82" s="861"/>
      <c r="B82" s="915">
        <v>65</v>
      </c>
      <c r="C82" s="859" t="s">
        <v>2318</v>
      </c>
      <c r="D82" s="983"/>
      <c r="E82" s="859"/>
      <c r="F82" s="859"/>
      <c r="G82" s="859"/>
      <c r="H82" s="907"/>
      <c r="I82" s="1021" t="str">
        <f>INDEX(TEMPLATE_NUMBER_POINT_FHD,B82,MATCH(TEMPLATE_SPHERE,TEMPLATE_SPHERE_LIST_FOR_NOTE,0))</f>
        <v>10</v>
      </c>
      <c r="J82" s="102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2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60" t="str">
        <f>IF(I82=0,"",I82)</f>
        <v>10</v>
      </c>
      <c r="M82" s="86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6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3" t="s">
        <v>144</v>
      </c>
      <c r="P82" s="973"/>
      <c r="Q82" s="973"/>
      <c r="R82" s="973"/>
      <c r="S82" s="973"/>
      <c r="T82" s="859" t="s">
        <v>2335</v>
      </c>
      <c r="U82" s="859"/>
      <c r="V82" s="859"/>
      <c r="W82" s="859"/>
      <c r="X82" s="859"/>
      <c r="Y82" s="1016"/>
      <c r="Z82" s="862" t="s">
        <v>2336</v>
      </c>
      <c r="AA82" s="865"/>
      <c r="AB82" s="862"/>
      <c r="AC82" s="862"/>
      <c r="AD82" s="862"/>
    </row>
    <row customHeight="1" ht="9">
      <c r="A83" s="861"/>
      <c r="B83" s="915">
        <v>66</v>
      </c>
      <c r="C83" s="859"/>
      <c r="D83" s="983"/>
      <c r="E83" s="859"/>
      <c r="F83" s="859"/>
      <c r="G83" s="859"/>
      <c r="H83" s="907"/>
      <c r="I83" s="1021" t="str">
        <f>INDEX(TEMPLATE_NUMBER_POINT_FHD,B83,MATCH(TEMPLATE_SPHERE,TEMPLATE_SPHERE_LIST_FOR_NOTE,0))</f>
        <v>10.1</v>
      </c>
      <c r="J83" s="1021" t="str">
        <f>INDEX(TEMPLATE_DATA_POINT_FHD,B83,MATCH(TEMPLATE_SPHERE,TEMPLATE_SPHERE_LIST_FOR_NOTE,0))</f>
        <v>По приборам учёта </v>
      </c>
      <c r="K83" s="1021">
        <f>INDEX(TEMPLATE_NOTE_POINT_FHD,B83,MATCH(TEMPLATE_SPHERE,TEMPLATE_SPHERE_LIST_FOR_NOTE,0))</f>
        <v>0</v>
      </c>
      <c r="L83" s="860" t="str">
        <f>IF(I83=0,"",I83)</f>
        <v>10.1</v>
      </c>
      <c r="M83" s="860" t="str">
        <f>IF(J83=0,"",J83)</f>
        <v>По приборам учёта </v>
      </c>
      <c r="N83" s="860" t="str">
        <f>IF(K83=0,"",K83)</f>
        <v/>
      </c>
      <c r="O83" s="973" t="s">
        <v>2224</v>
      </c>
      <c r="P83" s="973"/>
      <c r="Q83" s="973"/>
      <c r="R83" s="973"/>
      <c r="S83" s="973"/>
      <c r="T83" s="859" t="s">
        <v>2337</v>
      </c>
      <c r="U83" s="859"/>
      <c r="V83" s="859"/>
      <c r="W83" s="859"/>
      <c r="X83" s="859"/>
      <c r="Y83" s="1016"/>
      <c r="Z83" s="862"/>
      <c r="AA83" s="865"/>
      <c r="AB83" s="862"/>
      <c r="AC83" s="862"/>
      <c r="AD83" s="862"/>
    </row>
    <row customHeight="1" ht="54">
      <c r="A84" s="861"/>
      <c r="B84" s="915">
        <v>67</v>
      </c>
      <c r="C84" s="859"/>
      <c r="D84" s="983"/>
      <c r="E84" s="859"/>
      <c r="F84" s="859"/>
      <c r="G84" s="859"/>
      <c r="H84" s="907"/>
      <c r="I84" s="1021" t="str">
        <f>INDEX(TEMPLATE_NUMBER_POINT_FHD,B84,MATCH(TEMPLATE_SPHERE,TEMPLATE_SPHERE_LIST_FOR_NOTE,0))</f>
        <v>10.1.1</v>
      </c>
      <c r="J84" s="102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21">
        <f>INDEX(TEMPLATE_NOTE_POINT_FHD,B84,MATCH(TEMPLATE_SPHERE,TEMPLATE_SPHERE_LIST_FOR_NOTE,0))</f>
        <v>0</v>
      </c>
      <c r="L84" s="860" t="str">
        <f>IF(I84=0,"",I84)</f>
        <v>10.1.1</v>
      </c>
      <c r="M84" s="86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60" t="str">
        <f>IF(K84=0,"",K84)</f>
        <v/>
      </c>
      <c r="O84" s="973" t="s">
        <v>2338</v>
      </c>
      <c r="P84" s="973"/>
      <c r="Q84" s="973"/>
      <c r="R84" s="973"/>
      <c r="S84" s="973"/>
      <c r="T84" s="859" t="s">
        <v>2339</v>
      </c>
      <c r="U84" s="859"/>
      <c r="V84" s="859"/>
      <c r="W84" s="859"/>
      <c r="X84" s="859"/>
      <c r="Y84" s="1016"/>
      <c r="Z84" s="862"/>
      <c r="AA84" s="865"/>
      <c r="AB84" s="862"/>
      <c r="AC84" s="862"/>
      <c r="AD84" s="862"/>
    </row>
    <row customHeight="1" ht="9">
      <c r="A85" s="861"/>
      <c r="B85" s="915">
        <v>68</v>
      </c>
      <c r="C85" s="859"/>
      <c r="D85" s="983"/>
      <c r="E85" s="859"/>
      <c r="F85" s="859"/>
      <c r="G85" s="859"/>
      <c r="H85" s="907"/>
      <c r="I85" s="1021" t="str">
        <f>INDEX(TEMPLATE_NUMBER_POINT_FHD,B85,MATCH(TEMPLATE_SPHERE,TEMPLATE_SPHERE_LIST_FOR_NOTE,0))</f>
        <v>10.2</v>
      </c>
      <c r="J85" s="1021" t="str">
        <f>INDEX(TEMPLATE_DATA_POINT_FHD,B85,MATCH(TEMPLATE_SPHERE,TEMPLATE_SPHERE_LIST_FOR_NOTE,0))</f>
        <v>Расчётным путём</v>
      </c>
      <c r="K85" s="1021">
        <f>INDEX(TEMPLATE_NOTE_POINT_FHD,B85,MATCH(TEMPLATE_SPHERE,TEMPLATE_SPHERE_LIST_FOR_NOTE,0))</f>
        <v>0</v>
      </c>
      <c r="L85" s="860" t="str">
        <f>IF(I85=0,"",I85)</f>
        <v>10.2</v>
      </c>
      <c r="M85" s="860" t="str">
        <f>IF(J85=0,"",J85)</f>
        <v>Расчётным путём</v>
      </c>
      <c r="N85" s="860" t="str">
        <f>IF(K85=0,"",K85)</f>
        <v/>
      </c>
      <c r="O85" s="973" t="s">
        <v>2228</v>
      </c>
      <c r="P85" s="973"/>
      <c r="Q85" s="973"/>
      <c r="R85" s="973"/>
      <c r="S85" s="973"/>
      <c r="T85" s="859" t="s">
        <v>2340</v>
      </c>
      <c r="U85" s="859"/>
      <c r="V85" s="859"/>
      <c r="W85" s="859"/>
      <c r="X85" s="859"/>
      <c r="Y85" s="1016"/>
      <c r="Z85" s="862"/>
      <c r="AA85" s="865"/>
      <c r="AB85" s="862"/>
      <c r="AC85" s="862"/>
      <c r="AD85" s="862"/>
    </row>
    <row customHeight="1" ht="27">
      <c r="A86" s="861"/>
      <c r="B86" s="915">
        <v>69</v>
      </c>
      <c r="C86" s="859"/>
      <c r="D86" s="983"/>
      <c r="E86" s="859"/>
      <c r="F86" s="859"/>
      <c r="G86" s="859"/>
      <c r="H86" s="907"/>
      <c r="I86" s="1021" t="str">
        <f>INDEX(TEMPLATE_NUMBER_POINT_FHD,B86,MATCH(TEMPLATE_SPHERE,TEMPLATE_SPHERE_LIST_FOR_NOTE,0))</f>
        <v>10.3</v>
      </c>
      <c r="J86" s="1021" t="str">
        <f>INDEX(TEMPLATE_DATA_POINT_FHD,B86,MATCH(TEMPLATE_SPHERE,TEMPLATE_SPHERE_LIST_FOR_NOTE,0))</f>
        <v>По нормативам потребления коммунальных услуг и нормативам потребления коммунальных ресурсов</v>
      </c>
      <c r="K86" s="1021">
        <f>INDEX(TEMPLATE_NOTE_POINT_FHD,B86,MATCH(TEMPLATE_SPHERE,TEMPLATE_SPHERE_LIST_FOR_NOTE,0))</f>
        <v>0</v>
      </c>
      <c r="L86" s="860" t="str">
        <f>IF(I86=0,"",I86)</f>
        <v>10.3</v>
      </c>
      <c r="M86" s="860" t="str">
        <f>IF(J86=0,"",J86)</f>
        <v>По нормативам потребления коммунальных услуг и нормативам потребления коммунальных ресурсов</v>
      </c>
      <c r="N86" s="860" t="str">
        <f>IF(K86=0,"",K86)</f>
        <v/>
      </c>
      <c r="O86" s="973" t="s">
        <v>2341</v>
      </c>
      <c r="P86" s="973"/>
      <c r="Q86" s="973"/>
      <c r="R86" s="973"/>
      <c r="S86" s="973"/>
      <c r="T86" s="859" t="s">
        <v>2342</v>
      </c>
      <c r="U86" s="859"/>
      <c r="V86" s="859"/>
      <c r="W86" s="859"/>
      <c r="X86" s="859"/>
      <c r="Y86" s="1016"/>
      <c r="Z86" s="862"/>
      <c r="AA86" s="865"/>
      <c r="AB86" s="862"/>
      <c r="AC86" s="862"/>
      <c r="AD86" s="862"/>
    </row>
    <row customHeight="1" ht="36">
      <c r="A87" s="861"/>
      <c r="B87" s="915">
        <v>70</v>
      </c>
      <c r="C87" s="859" t="s">
        <v>2343</v>
      </c>
      <c r="D87" s="983"/>
      <c r="E87" s="859"/>
      <c r="F87" s="859"/>
      <c r="G87" s="859"/>
      <c r="H87" s="907"/>
      <c r="I87" s="1021" t="str">
        <f>INDEX(TEMPLATE_NUMBER_POINT_FHD,B87,MATCH(TEMPLATE_SPHERE,TEMPLATE_SPHERE_LIST_FOR_NOTE,0))</f>
        <v>11</v>
      </c>
      <c r="J87" s="102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21">
        <f>INDEX(TEMPLATE_NOTE_POINT_FHD,B87,MATCH(TEMPLATE_SPHERE,TEMPLATE_SPHERE_LIST_FOR_NOTE,0))</f>
        <v>0</v>
      </c>
      <c r="L87" s="860" t="str">
        <f>IF(I87=0,"",I87)</f>
        <v>11</v>
      </c>
      <c r="M87" s="86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60" t="str">
        <f>IF(K87=0,"",K87)</f>
        <v/>
      </c>
      <c r="O87" s="973" t="s">
        <v>150</v>
      </c>
      <c r="P87" s="973"/>
      <c r="Q87" s="973"/>
      <c r="R87" s="973"/>
      <c r="S87" s="973"/>
      <c r="T87" s="859" t="s">
        <v>2344</v>
      </c>
      <c r="U87" s="859"/>
      <c r="V87" s="859"/>
      <c r="W87" s="859"/>
      <c r="X87" s="859"/>
      <c r="Y87" s="1016"/>
      <c r="Z87" s="862"/>
      <c r="AA87" s="865"/>
      <c r="AB87" s="862"/>
      <c r="AC87" s="862"/>
      <c r="AD87" s="862"/>
    </row>
    <row customHeight="1" ht="18">
      <c r="A88" s="861"/>
      <c r="B88" s="915">
        <v>71</v>
      </c>
      <c r="C88" s="859" t="s">
        <v>2345</v>
      </c>
      <c r="D88" s="983"/>
      <c r="E88" s="859"/>
      <c r="F88" s="859"/>
      <c r="G88" s="859"/>
      <c r="H88" s="907"/>
      <c r="I88" s="1021" t="str">
        <f>INDEX(TEMPLATE_NUMBER_POINT_FHD,B88,MATCH(TEMPLATE_SPHERE,TEMPLATE_SPHERE_LIST_FOR_NOTE,0))</f>
        <v>12</v>
      </c>
      <c r="J88" s="1021" t="str">
        <f>INDEX(TEMPLATE_DATA_POINT_FHD,B88,MATCH(TEMPLATE_SPHERE,TEMPLATE_SPHERE_LIST_FOR_NOTE,0))</f>
        <v>Фактический объем потерь при передаче тепловой энергии</v>
      </c>
      <c r="K88" s="1021">
        <f>INDEX(TEMPLATE_NOTE_POINT_FHD,B88,MATCH(TEMPLATE_SPHERE,TEMPLATE_SPHERE_LIST_FOR_NOTE,0))</f>
        <v>0</v>
      </c>
      <c r="L88" s="860" t="str">
        <f>IF(I88=0,"",I88)</f>
        <v>12</v>
      </c>
      <c r="M88" s="860" t="str">
        <f>IF(J88=0,"",J88)</f>
        <v>Фактический объем потерь при передаче тепловой энергии</v>
      </c>
      <c r="N88" s="860" t="str">
        <f>IF(K88=0,"",K88)</f>
        <v/>
      </c>
      <c r="O88" s="973" t="s">
        <v>152</v>
      </c>
      <c r="P88" s="973"/>
      <c r="Q88" s="973"/>
      <c r="R88" s="973"/>
      <c r="S88" s="973"/>
      <c r="T88" s="859" t="s">
        <v>819</v>
      </c>
      <c r="U88" s="859"/>
      <c r="V88" s="859"/>
      <c r="W88" s="859"/>
      <c r="X88" s="859"/>
      <c r="Y88" s="1016"/>
      <c r="Z88" s="862"/>
      <c r="AA88" s="865"/>
      <c r="AB88" s="862"/>
      <c r="AC88" s="862"/>
      <c r="AD88" s="862"/>
    </row>
    <row customHeight="1" ht="18">
      <c r="A89" s="861"/>
      <c r="B89" s="915">
        <v>72</v>
      </c>
      <c r="C89" s="859" t="s">
        <v>2346</v>
      </c>
      <c r="D89" s="983" t="s">
        <v>2343</v>
      </c>
      <c r="E89" s="859" t="s">
        <v>2343</v>
      </c>
      <c r="F89" s="859" t="s">
        <v>2309</v>
      </c>
      <c r="G89" s="859"/>
      <c r="H89" s="907"/>
      <c r="I89" s="1021" t="str">
        <f>INDEX(TEMPLATE_NUMBER_POINT_FHD,B89,MATCH(TEMPLATE_SPHERE,TEMPLATE_SPHERE_LIST_FOR_NOTE,0))</f>
        <v>13</v>
      </c>
      <c r="J89" s="1021" t="str">
        <f>INDEX(TEMPLATE_DATA_POINT_FHD,B89,MATCH(TEMPLATE_SPHERE,TEMPLATE_SPHERE_LIST_FOR_NOTE,0))</f>
        <v>Среднесписочная численность основного производственного персонала</v>
      </c>
      <c r="K89" s="1021">
        <f>INDEX(TEMPLATE_NOTE_POINT_FHD,B89,MATCH(TEMPLATE_SPHERE,TEMPLATE_SPHERE_LIST_FOR_NOTE,0))</f>
        <v>0</v>
      </c>
      <c r="L89" s="860" t="str">
        <f>IF(I89=0,"",I89)</f>
        <v>13</v>
      </c>
      <c r="M89" s="860" t="str">
        <f>IF(J89=0,"",J89)</f>
        <v>Среднесписочная численность основного производственного персонала</v>
      </c>
      <c r="N89" s="860" t="str">
        <f>IF(K89=0,"",K89)</f>
        <v/>
      </c>
      <c r="O89" s="973" t="s">
        <v>158</v>
      </c>
      <c r="P89" s="973" t="s">
        <v>152</v>
      </c>
      <c r="Q89" s="973" t="s">
        <v>152</v>
      </c>
      <c r="R89" s="973" t="s">
        <v>144</v>
      </c>
      <c r="S89" s="973"/>
      <c r="T89" s="859" t="s">
        <v>827</v>
      </c>
      <c r="U89" s="859" t="s">
        <v>827</v>
      </c>
      <c r="V89" s="859" t="s">
        <v>827</v>
      </c>
      <c r="W89" s="859" t="s">
        <v>827</v>
      </c>
      <c r="X89" s="859"/>
      <c r="Y89" s="1016"/>
      <c r="Z89" s="862"/>
      <c r="AA89" s="865"/>
      <c r="AB89" s="862"/>
      <c r="AC89" s="862"/>
      <c r="AD89" s="862"/>
    </row>
    <row customHeight="1" ht="27">
      <c r="A90" s="861"/>
      <c r="B90" s="915">
        <v>73</v>
      </c>
      <c r="C90" s="859" t="s">
        <v>2347</v>
      </c>
      <c r="D90" s="983"/>
      <c r="E90" s="859"/>
      <c r="F90" s="859"/>
      <c r="G90" s="859"/>
      <c r="H90" s="907"/>
      <c r="I90" s="1021" t="str">
        <f>INDEX(TEMPLATE_NUMBER_POINT_FHD,B90,MATCH(TEMPLATE_SPHERE,TEMPLATE_SPHERE_LIST_FOR_NOTE,0))</f>
        <v>14</v>
      </c>
      <c r="J90" s="1021" t="str">
        <f>INDEX(TEMPLATE_DATA_POINT_FHD,B90,MATCH(TEMPLATE_SPHERE,TEMPLATE_SPHERE_LIST_FOR_NOTE,0))</f>
        <v>Среднесписочная численность административно-управленческого персонала</v>
      </c>
      <c r="K90" s="1021">
        <f>INDEX(TEMPLATE_NOTE_POINT_FHD,B90,MATCH(TEMPLATE_SPHERE,TEMPLATE_SPHERE_LIST_FOR_NOTE,0))</f>
        <v>0</v>
      </c>
      <c r="L90" s="860" t="str">
        <f>IF(I90=0,"",I90)</f>
        <v>14</v>
      </c>
      <c r="M90" s="860" t="str">
        <f>IF(J90=0,"",J90)</f>
        <v>Среднесписочная численность административно-управленческого персонала</v>
      </c>
      <c r="N90" s="860" t="str">
        <f>IF(K90=0,"",K90)</f>
        <v/>
      </c>
      <c r="O90" s="973" t="s">
        <v>162</v>
      </c>
      <c r="P90" s="973"/>
      <c r="Q90" s="973"/>
      <c r="R90" s="973"/>
      <c r="S90" s="973"/>
      <c r="T90" s="859" t="s">
        <v>829</v>
      </c>
      <c r="U90" s="859"/>
      <c r="V90" s="859"/>
      <c r="W90" s="859"/>
      <c r="X90" s="859"/>
      <c r="Y90" s="1016"/>
      <c r="Z90" s="862"/>
      <c r="AA90" s="865"/>
      <c r="AB90" s="862"/>
      <c r="AC90" s="862"/>
      <c r="AD90" s="862"/>
    </row>
    <row customHeight="1" ht="18">
      <c r="A91" s="861"/>
      <c r="B91" s="915">
        <v>74</v>
      </c>
      <c r="C91" s="859"/>
      <c r="D91" s="983" t="s">
        <v>2345</v>
      </c>
      <c r="E91" s="859" t="s">
        <v>2345</v>
      </c>
      <c r="F91" s="859"/>
      <c r="G91" s="859"/>
      <c r="H91" s="907"/>
      <c r="I91" s="1021">
        <f>INDEX(TEMPLATE_NUMBER_POINT_FHD,B91,MATCH(TEMPLATE_SPHERE,TEMPLATE_SPHERE_LIST_FOR_NOTE,0))</f>
        <v>0</v>
      </c>
      <c r="J91" s="1021">
        <f>INDEX(TEMPLATE_DATA_POINT_FHD,B91,MATCH(TEMPLATE_SPHERE,TEMPLATE_SPHERE_LIST_FOR_NOTE,0))</f>
        <v>0</v>
      </c>
      <c r="K91" s="1021">
        <f>INDEX(TEMPLATE_NOTE_POINT_FHD,B91,MATCH(TEMPLATE_SPHERE,TEMPLATE_SPHERE_LIST_FOR_NOTE,0))</f>
        <v>0</v>
      </c>
      <c r="L91" s="860" t="str">
        <f>IF(I91=0,"",I91)</f>
        <v/>
      </c>
      <c r="M91" s="860" t="str">
        <f>IF(J91=0,"",J91)</f>
        <v/>
      </c>
      <c r="N91" s="860" t="str">
        <f>IF(K91=0,"",K91)</f>
        <v/>
      </c>
      <c r="O91" s="973"/>
      <c r="P91" s="973" t="s">
        <v>158</v>
      </c>
      <c r="Q91" s="973" t="s">
        <v>158</v>
      </c>
      <c r="R91" s="973"/>
      <c r="S91" s="973"/>
      <c r="T91" s="859"/>
      <c r="U91" s="859" t="s">
        <v>2348</v>
      </c>
      <c r="V91" s="859" t="s">
        <v>2348</v>
      </c>
      <c r="W91" s="859"/>
      <c r="X91" s="859"/>
      <c r="Y91" s="1016"/>
      <c r="Z91" s="862"/>
      <c r="AA91" s="865"/>
      <c r="AB91" s="862"/>
      <c r="AC91" s="862"/>
      <c r="AD91" s="862"/>
    </row>
    <row customHeight="1" ht="27">
      <c r="A92" s="861"/>
      <c r="B92" s="915">
        <v>75</v>
      </c>
      <c r="C92" s="859"/>
      <c r="D92" s="983" t="s">
        <v>2346</v>
      </c>
      <c r="E92" s="859"/>
      <c r="F92" s="859"/>
      <c r="G92" s="859"/>
      <c r="H92" s="907"/>
      <c r="I92" s="1021">
        <f>INDEX(TEMPLATE_NUMBER_POINT_FHD,B92,MATCH(TEMPLATE_SPHERE,TEMPLATE_SPHERE_LIST_FOR_NOTE,0))</f>
        <v>0</v>
      </c>
      <c r="J92" s="1021">
        <f>INDEX(TEMPLATE_DATA_POINT_FHD,B92,MATCH(TEMPLATE_SPHERE,TEMPLATE_SPHERE_LIST_FOR_NOTE,0))</f>
        <v>0</v>
      </c>
      <c r="K92" s="1021">
        <f>INDEX(TEMPLATE_NOTE_POINT_FHD,B92,MATCH(TEMPLATE_SPHERE,TEMPLATE_SPHERE_LIST_FOR_NOTE,0))</f>
        <v>0</v>
      </c>
      <c r="L92" s="860" t="str">
        <f>IF(I92=0,"",I92)</f>
        <v/>
      </c>
      <c r="M92" s="860" t="str">
        <f>IF(J92=0,"",J92)</f>
        <v/>
      </c>
      <c r="N92" s="860" t="str">
        <f>IF(K92=0,"",K92)</f>
        <v/>
      </c>
      <c r="O92" s="973"/>
      <c r="P92" s="973" t="s">
        <v>162</v>
      </c>
      <c r="Q92" s="973"/>
      <c r="R92" s="973"/>
      <c r="S92" s="973"/>
      <c r="T92" s="859"/>
      <c r="U92" s="859" t="s">
        <v>2349</v>
      </c>
      <c r="V92" s="859"/>
      <c r="W92" s="859"/>
      <c r="X92" s="859"/>
      <c r="Y92" s="1016"/>
      <c r="Z92" s="862"/>
      <c r="AA92" s="865" t="s">
        <v>2350</v>
      </c>
      <c r="AB92" s="862"/>
      <c r="AC92" s="862"/>
      <c r="AD92" s="862"/>
    </row>
    <row customHeight="1" ht="27">
      <c r="A93" s="861"/>
      <c r="B93" s="915">
        <v>76</v>
      </c>
      <c r="C93" s="859"/>
      <c r="D93" s="983"/>
      <c r="E93" s="859"/>
      <c r="F93" s="859"/>
      <c r="G93" s="859"/>
      <c r="H93" s="907"/>
      <c r="I93" s="1021">
        <f>INDEX(TEMPLATE_NUMBER_POINT_FHD,B93,MATCH(TEMPLATE_SPHERE,TEMPLATE_SPHERE_LIST_FOR_NOTE,0))</f>
        <v>0</v>
      </c>
      <c r="J93" s="1021">
        <f>INDEX(TEMPLATE_DATA_POINT_FHD,B93,MATCH(TEMPLATE_SPHERE,TEMPLATE_SPHERE_LIST_FOR_NOTE,0))</f>
        <v>0</v>
      </c>
      <c r="K93" s="1021">
        <f>INDEX(TEMPLATE_NOTE_POINT_FHD,B93,MATCH(TEMPLATE_SPHERE,TEMPLATE_SPHERE_LIST_FOR_NOTE,0))</f>
        <v>0</v>
      </c>
      <c r="L93" s="860" t="str">
        <f>IF(I93=0,"",I93)</f>
        <v/>
      </c>
      <c r="M93" s="860" t="str">
        <f>IF(J93=0,"",J93)</f>
        <v/>
      </c>
      <c r="N93" s="860" t="str">
        <f>IF(K93=0,"",K93)</f>
        <v/>
      </c>
      <c r="O93" s="973"/>
      <c r="P93" s="973" t="s">
        <v>2256</v>
      </c>
      <c r="Q93" s="973"/>
      <c r="R93" s="973"/>
      <c r="S93" s="973"/>
      <c r="T93" s="859"/>
      <c r="U93" s="859" t="s">
        <v>2351</v>
      </c>
      <c r="V93" s="859"/>
      <c r="W93" s="859"/>
      <c r="X93" s="859"/>
      <c r="Y93" s="1016"/>
      <c r="Z93" s="862"/>
      <c r="AA93" s="865" t="s">
        <v>2352</v>
      </c>
      <c r="AB93" s="862"/>
      <c r="AC93" s="862"/>
      <c r="AD93" s="862"/>
    </row>
    <row customHeight="1" ht="45">
      <c r="A94" s="861"/>
      <c r="B94" s="915">
        <v>77</v>
      </c>
      <c r="C94" s="859"/>
      <c r="D94" s="983" t="s">
        <v>2347</v>
      </c>
      <c r="E94" s="859"/>
      <c r="F94" s="859"/>
      <c r="G94" s="859"/>
      <c r="H94" s="907"/>
      <c r="I94" s="1021">
        <f>INDEX(TEMPLATE_NUMBER_POINT_FHD,B94,MATCH(TEMPLATE_SPHERE,TEMPLATE_SPHERE_LIST_FOR_NOTE,0))</f>
        <v>0</v>
      </c>
      <c r="J94" s="1021">
        <f>INDEX(TEMPLATE_DATA_POINT_FHD,B94,MATCH(TEMPLATE_SPHERE,TEMPLATE_SPHERE_LIST_FOR_NOTE,0))</f>
        <v>0</v>
      </c>
      <c r="K94" s="1021">
        <f>INDEX(TEMPLATE_NOTE_POINT_FHD,B94,MATCH(TEMPLATE_SPHERE,TEMPLATE_SPHERE_LIST_FOR_NOTE,0))</f>
        <v>0</v>
      </c>
      <c r="L94" s="860" t="str">
        <f>IF(I94=0,"",I94)</f>
        <v/>
      </c>
      <c r="M94" s="860" t="str">
        <f>IF(J94=0,"",J94)</f>
        <v/>
      </c>
      <c r="N94" s="860" t="str">
        <f>IF(K94=0,"",K94)</f>
        <v/>
      </c>
      <c r="O94" s="973"/>
      <c r="P94" s="973" t="s">
        <v>167</v>
      </c>
      <c r="Q94" s="973"/>
      <c r="R94" s="973"/>
      <c r="S94" s="973"/>
      <c r="T94" s="859"/>
      <c r="U94" s="859" t="s">
        <v>2353</v>
      </c>
      <c r="V94" s="859"/>
      <c r="W94" s="859"/>
      <c r="X94" s="859"/>
      <c r="Y94" s="1016"/>
      <c r="Z94" s="862"/>
      <c r="AA94" s="865" t="s">
        <v>2354</v>
      </c>
      <c r="AB94" s="862"/>
      <c r="AC94" s="862"/>
      <c r="AD94" s="862"/>
    </row>
    <row customHeight="1" ht="99">
      <c r="A95" s="861"/>
      <c r="B95" s="915">
        <v>78</v>
      </c>
      <c r="C95" s="859" t="s">
        <v>2355</v>
      </c>
      <c r="D95" s="983"/>
      <c r="E95" s="859"/>
      <c r="F95" s="859"/>
      <c r="G95" s="859"/>
      <c r="H95" s="907"/>
      <c r="I95" s="1021" t="str">
        <f>INDEX(TEMPLATE_NUMBER_POINT_FHD,B95,MATCH(TEMPLATE_SPHERE,TEMPLATE_SPHERE_LIST_FOR_NOTE,0))</f>
        <v>15</v>
      </c>
      <c r="J95" s="102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21">
        <f>INDEX(TEMPLATE_NOTE_POINT_FHD,B95,MATCH(TEMPLATE_SPHERE,TEMPLATE_SPHERE_LIST_FOR_NOTE,0))</f>
        <v>0</v>
      </c>
      <c r="L95" s="860" t="str">
        <f>IF(I95=0,"",I95)</f>
        <v>15</v>
      </c>
      <c r="M95" s="86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60" t="str">
        <f>IF(K95=0,"",K95)</f>
        <v/>
      </c>
      <c r="O95" s="973" t="s">
        <v>167</v>
      </c>
      <c r="P95" s="973"/>
      <c r="Q95" s="973"/>
      <c r="R95" s="973"/>
      <c r="S95" s="973"/>
      <c r="T95" s="859" t="s">
        <v>2356</v>
      </c>
      <c r="U95" s="859"/>
      <c r="V95" s="859"/>
      <c r="W95" s="859"/>
      <c r="X95" s="859"/>
      <c r="Y95" s="1016"/>
      <c r="Z95" s="862"/>
      <c r="AA95" s="865"/>
      <c r="AB95" s="862"/>
      <c r="AC95" s="862"/>
      <c r="AD95" s="862"/>
    </row>
    <row customHeight="1" ht="99">
      <c r="A96" s="861"/>
      <c r="B96" s="915">
        <v>79</v>
      </c>
      <c r="C96" s="859" t="s">
        <v>1307</v>
      </c>
      <c r="D96" s="983"/>
      <c r="E96" s="859"/>
      <c r="F96" s="859"/>
      <c r="G96" s="859"/>
      <c r="H96" s="907"/>
      <c r="I96" s="1021" t="str">
        <f>INDEX(TEMPLATE_NUMBER_POINT_FHD,B96,MATCH(TEMPLATE_SPHERE,TEMPLATE_SPHERE_LIST_FOR_NOTE,0))</f>
        <v>16</v>
      </c>
      <c r="J96" s="102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2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60" t="str">
        <f>IF(I96=0,"",I96)</f>
        <v>16</v>
      </c>
      <c r="M96" s="86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6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3" t="s">
        <v>114</v>
      </c>
      <c r="P96" s="973"/>
      <c r="Q96" s="973"/>
      <c r="R96" s="973"/>
      <c r="S96" s="973"/>
      <c r="T96" s="859" t="s">
        <v>2357</v>
      </c>
      <c r="U96" s="859"/>
      <c r="V96" s="859"/>
      <c r="W96" s="859"/>
      <c r="X96" s="859"/>
      <c r="Y96" s="1016"/>
      <c r="Z96" s="862" t="s">
        <v>2358</v>
      </c>
      <c r="AA96" s="865"/>
      <c r="AB96" s="862"/>
      <c r="AC96" s="862"/>
      <c r="AD96" s="862"/>
    </row>
    <row customHeight="1" ht="63">
      <c r="A97" s="861"/>
      <c r="B97" s="915">
        <v>80</v>
      </c>
      <c r="C97" s="859" t="s">
        <v>2359</v>
      </c>
      <c r="D97" s="983"/>
      <c r="E97" s="859"/>
      <c r="F97" s="859"/>
      <c r="G97" s="859"/>
      <c r="H97" s="907"/>
      <c r="I97" s="1021" t="str">
        <f>INDEX(TEMPLATE_NUMBER_POINT_FHD,B97,MATCH(TEMPLATE_SPHERE,TEMPLATE_SPHERE_LIST_FOR_NOTE,0))</f>
        <v>17</v>
      </c>
      <c r="J97" s="102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2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60" t="str">
        <f>IF(I97=0,"",I97)</f>
        <v>17</v>
      </c>
      <c r="M97" s="86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60" t="str">
        <f>IF(K97=0,"",K97)</f>
        <v>Регулируемыми организациями указывается информация с по договорам, заключенным в рамках осуществления регулируемой деятельности.</v>
      </c>
      <c r="O97" s="973" t="s">
        <v>1635</v>
      </c>
      <c r="P97" s="973"/>
      <c r="Q97" s="973"/>
      <c r="R97" s="973"/>
      <c r="S97" s="973"/>
      <c r="T97" s="859" t="s">
        <v>2360</v>
      </c>
      <c r="U97" s="859"/>
      <c r="V97" s="859"/>
      <c r="W97" s="859"/>
      <c r="X97" s="859"/>
      <c r="Y97" s="1016"/>
      <c r="Z97" s="862" t="s">
        <v>2361</v>
      </c>
      <c r="AA97" s="865"/>
      <c r="AB97" s="862"/>
      <c r="AC97" s="862"/>
      <c r="AD97" s="862"/>
    </row>
    <row customHeight="1" ht="63">
      <c r="A98" s="861"/>
      <c r="B98" s="915">
        <v>81</v>
      </c>
      <c r="C98" s="859" t="s">
        <v>2362</v>
      </c>
      <c r="D98" s="983"/>
      <c r="E98" s="859"/>
      <c r="F98" s="859"/>
      <c r="G98" s="859"/>
      <c r="H98" s="907"/>
      <c r="I98" s="1021" t="str">
        <f>INDEX(TEMPLATE_NUMBER_POINT_FHD,B98,MATCH(TEMPLATE_SPHERE,TEMPLATE_SPHERE_LIST_FOR_NOTE,0))</f>
        <v>18</v>
      </c>
      <c r="J98" s="102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2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60" t="str">
        <f>IF(I98=0,"",I98)</f>
        <v>18</v>
      </c>
      <c r="M98" s="86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60" t="str">
        <f>IF(K98=0,"",K98)</f>
        <v>Регулируемыми организациями указывается информация с по договорам, заключенным в рамках осуществления регулируемой деятельности.</v>
      </c>
      <c r="O98" s="973" t="s">
        <v>102</v>
      </c>
      <c r="P98" s="973"/>
      <c r="Q98" s="973"/>
      <c r="R98" s="973"/>
      <c r="S98" s="973"/>
      <c r="T98" s="859" t="s">
        <v>2363</v>
      </c>
      <c r="U98" s="859"/>
      <c r="V98" s="859"/>
      <c r="W98" s="859"/>
      <c r="X98" s="859"/>
      <c r="Y98" s="1016"/>
      <c r="Z98" s="862" t="s">
        <v>2361</v>
      </c>
      <c r="AA98" s="865"/>
      <c r="AB98" s="862"/>
      <c r="AC98" s="862"/>
      <c r="AD98" s="862"/>
    </row>
    <row customHeight="1" ht="90">
      <c r="A99" s="861"/>
      <c r="B99" s="915">
        <v>82</v>
      </c>
      <c r="C99" s="859" t="s">
        <v>2364</v>
      </c>
      <c r="D99" s="983"/>
      <c r="E99" s="859"/>
      <c r="F99" s="859"/>
      <c r="G99" s="859"/>
      <c r="H99" s="907"/>
      <c r="I99" s="1021" t="str">
        <f>INDEX(TEMPLATE_NUMBER_POINT_FHD,B99,MATCH(TEMPLATE_SPHERE,TEMPLATE_SPHERE_LIST_FOR_NOTE,0))</f>
        <v>19</v>
      </c>
      <c r="J99" s="102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21" t="str">
        <f>INDEX(TEMPLATE_NOTE_POINT_FHD,B99,MATCH(TEMPLATE_SPHERE,TEMPLATE_SPHERE_LIST_FOR_NOTE,0))</f>
        <v>Указывается ссылка на документ, предварительно загруженный в хранилище файлов ФГИС ЕИАС.</v>
      </c>
      <c r="L99" s="860" t="str">
        <f>IF(I99=0,"",I99)</f>
        <v>19</v>
      </c>
      <c r="M99" s="86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60" t="str">
        <f>IF(K99=0,"",K99)</f>
        <v>Указывается ссылка на документ, предварительно загруженный в хранилище файлов ФГИС ЕИАС.</v>
      </c>
      <c r="O99" s="973" t="s">
        <v>132</v>
      </c>
      <c r="P99" s="973"/>
      <c r="Q99" s="973"/>
      <c r="R99" s="973"/>
      <c r="S99" s="973"/>
      <c r="T99" s="859" t="s">
        <v>2365</v>
      </c>
      <c r="U99" s="859"/>
      <c r="V99" s="859"/>
      <c r="W99" s="859"/>
      <c r="X99" s="859"/>
      <c r="Y99" s="1016"/>
      <c r="Z99" s="862" t="s">
        <v>784</v>
      </c>
      <c r="AA99" s="865"/>
      <c r="AB99" s="862"/>
      <c r="AC99" s="862"/>
      <c r="AD99" s="862"/>
    </row>
    <row customHeight="1" ht="27">
      <c r="A100" s="861"/>
      <c r="B100" s="915">
        <v>83</v>
      </c>
      <c r="C100" s="859"/>
      <c r="D100" s="983"/>
      <c r="E100" s="859"/>
      <c r="F100" s="859"/>
      <c r="G100" s="859"/>
      <c r="H100" s="907"/>
      <c r="I100" s="1021" t="str">
        <f>INDEX(TEMPLATE_NUMBER_POINT_FHD,B100,MATCH(TEMPLATE_SPHERE,TEMPLATE_SPHERE_LIST_FOR_NOTE,0))</f>
        <v>19.1</v>
      </c>
      <c r="J100" s="1021" t="str">
        <f>INDEX(TEMPLATE_DATA_POINT_FHD,B100,MATCH(TEMPLATE_SPHERE,TEMPLATE_SPHERE_LIST_FOR_NOTE,0))</f>
        <v>Информация о показателях физического износа объектов теплоснабжения</v>
      </c>
      <c r="K100" s="1021" t="str">
        <f>INDEX(TEMPLATE_NOTE_POINT_FHD,B100,MATCH(TEMPLATE_SPHERE,TEMPLATE_SPHERE_LIST_FOR_NOTE,0))</f>
        <v>Указывается ссылка на документ, предварительно загруженный в хранилище файлов ФГИС ЕИАС.</v>
      </c>
      <c r="L100" s="860" t="str">
        <f>IF(I100=0,"",I100)</f>
        <v>19.1</v>
      </c>
      <c r="M100" s="860" t="str">
        <f>IF(J100=0,"",J100)</f>
        <v>Информация о показателях физического износа объектов теплоснабжения</v>
      </c>
      <c r="N100" s="860" t="str">
        <f>IF(K100=0,"",K100)</f>
        <v>Указывается ссылка на документ, предварительно загруженный в хранилище файлов ФГИС ЕИАС.</v>
      </c>
      <c r="O100" s="973" t="s">
        <v>2366</v>
      </c>
      <c r="P100" s="973"/>
      <c r="Q100" s="973"/>
      <c r="R100" s="973"/>
      <c r="S100" s="973"/>
      <c r="T100" s="859" t="s">
        <v>2367</v>
      </c>
      <c r="U100" s="859"/>
      <c r="V100" s="859"/>
      <c r="W100" s="859"/>
      <c r="X100" s="859"/>
      <c r="Y100" s="1016"/>
      <c r="Z100" s="862" t="s">
        <v>784</v>
      </c>
      <c r="AA100" s="865"/>
      <c r="AB100" s="862"/>
      <c r="AC100" s="862"/>
      <c r="AD100" s="862"/>
    </row>
    <row customHeight="1" ht="27">
      <c r="A101" s="861"/>
      <c r="B101" s="915">
        <v>84</v>
      </c>
      <c r="C101" s="859"/>
      <c r="D101" s="983"/>
      <c r="E101" s="859"/>
      <c r="F101" s="859"/>
      <c r="G101" s="859"/>
      <c r="H101" s="907"/>
      <c r="I101" s="1021" t="str">
        <f>INDEX(TEMPLATE_NUMBER_POINT_FHD,B101,MATCH(TEMPLATE_SPHERE,TEMPLATE_SPHERE_LIST_FOR_NOTE,0))</f>
        <v>19.2</v>
      </c>
      <c r="J101" s="1021" t="str">
        <f>INDEX(TEMPLATE_DATA_POINT_FHD,B101,MATCH(TEMPLATE_SPHERE,TEMPLATE_SPHERE_LIST_FOR_NOTE,0))</f>
        <v>Информация о показателях энергетической эффективности объектов теплоснабжения</v>
      </c>
      <c r="K101" s="1021" t="str">
        <f>INDEX(TEMPLATE_NOTE_POINT_FHD,B101,MATCH(TEMPLATE_SPHERE,TEMPLATE_SPHERE_LIST_FOR_NOTE,0))</f>
        <v>Указывается ссылка на документ, предварительно загруженный в хранилище файлов ФГИС ЕИАС.</v>
      </c>
      <c r="L101" s="860" t="str">
        <f>IF(I101=0,"",I101)</f>
        <v>19.2</v>
      </c>
      <c r="M101" s="860" t="str">
        <f>IF(J101=0,"",J101)</f>
        <v>Информация о показателях энергетической эффективности объектов теплоснабжения</v>
      </c>
      <c r="N101" s="860" t="str">
        <f>IF(K101=0,"",K101)</f>
        <v>Указывается ссылка на документ, предварительно загруженный в хранилище файлов ФГИС ЕИАС.</v>
      </c>
      <c r="O101" s="973" t="s">
        <v>2368</v>
      </c>
      <c r="P101" s="973"/>
      <c r="Q101" s="973"/>
      <c r="R101" s="973"/>
      <c r="S101" s="973"/>
      <c r="T101" s="859" t="s">
        <v>2369</v>
      </c>
      <c r="U101" s="859"/>
      <c r="V101" s="859"/>
      <c r="W101" s="859"/>
      <c r="X101" s="859"/>
      <c r="Y101" s="1016"/>
      <c r="Z101" s="862" t="s">
        <v>784</v>
      </c>
      <c r="AA101" s="865"/>
      <c r="AB101" s="862"/>
      <c r="AC101" s="862"/>
      <c r="AD101" s="862"/>
    </row>
    <row customHeight="1" ht="9">
      <c r="A102" s="861"/>
      <c r="B102" s="861"/>
      <c r="C102" s="859"/>
      <c r="D102" s="859"/>
      <c r="E102" s="859"/>
      <c r="F102" s="859"/>
      <c r="G102" s="859"/>
      <c r="H102" s="907"/>
      <c r="I102" s="907"/>
      <c r="J102" s="907"/>
      <c r="K102" s="907"/>
      <c r="L102" s="907"/>
      <c r="M102" s="859"/>
      <c r="N102" s="906"/>
      <c r="O102" s="973"/>
      <c r="P102" s="973"/>
      <c r="Q102" s="973"/>
      <c r="R102" s="973"/>
      <c r="S102" s="859"/>
      <c r="T102" s="859"/>
      <c r="U102" s="859"/>
      <c r="V102" s="859"/>
      <c r="W102" s="859"/>
      <c r="X102" s="859"/>
      <c r="Y102" s="1016"/>
      <c r="Z102" s="862"/>
      <c r="AA102" s="865"/>
      <c r="AB102" s="862"/>
      <c r="AC102" s="862"/>
      <c r="AD102" s="862"/>
    </row>
    <row customHeight="1" ht="9">
      <c r="A103" s="861"/>
      <c r="B103" s="861"/>
      <c r="C103" s="859"/>
      <c r="D103" s="859"/>
      <c r="E103" s="859"/>
      <c r="F103" s="859"/>
      <c r="G103" s="859"/>
      <c r="H103" s="907"/>
      <c r="I103" s="907"/>
      <c r="J103" s="907"/>
      <c r="K103" s="907"/>
      <c r="L103" s="907"/>
      <c r="M103" s="859"/>
      <c r="N103" s="906"/>
      <c r="O103" s="973"/>
      <c r="P103" s="973"/>
      <c r="Q103" s="973"/>
      <c r="R103" s="973"/>
      <c r="S103" s="859"/>
      <c r="T103" s="859"/>
      <c r="U103" s="859"/>
      <c r="V103" s="859"/>
      <c r="W103" s="859"/>
      <c r="X103" s="859"/>
      <c r="Y103" s="1016"/>
      <c r="Z103" s="862"/>
      <c r="AA103" s="865"/>
      <c r="AB103" s="862"/>
      <c r="AC103" s="862"/>
      <c r="AD103" s="862"/>
    </row>
    <row customHeight="1" ht="9">
      <c r="A104" s="861"/>
      <c r="B104" s="861"/>
      <c r="C104" s="859"/>
      <c r="D104" s="859"/>
      <c r="E104" s="859"/>
      <c r="F104" s="859"/>
      <c r="G104" s="859"/>
      <c r="H104" s="907"/>
      <c r="I104" s="907"/>
      <c r="J104" s="907"/>
      <c r="K104" s="907"/>
      <c r="L104" s="907"/>
      <c r="M104" s="859"/>
      <c r="N104" s="906"/>
      <c r="O104" s="973"/>
      <c r="P104" s="973"/>
      <c r="Q104" s="973"/>
      <c r="R104" s="973"/>
      <c r="S104" s="859"/>
      <c r="T104" s="859"/>
      <c r="U104" s="859"/>
      <c r="V104" s="859"/>
      <c r="W104" s="859"/>
      <c r="X104" s="859"/>
      <c r="Y104" s="1016"/>
      <c r="Z104" s="862"/>
      <c r="AA104" s="865"/>
      <c r="AB104" s="862"/>
      <c r="AC104" s="862"/>
      <c r="AD104" s="862"/>
    </row>
    <row customHeight="1" ht="9">
      <c r="A105" s="861"/>
      <c r="B105" s="861"/>
      <c r="C105" s="859"/>
      <c r="D105" s="859"/>
      <c r="E105" s="859"/>
      <c r="F105" s="859"/>
      <c r="G105" s="859"/>
      <c r="H105" s="907"/>
      <c r="I105" s="907"/>
      <c r="J105" s="907"/>
      <c r="K105" s="907"/>
      <c r="L105" s="907"/>
      <c r="M105" s="859"/>
      <c r="N105" s="906"/>
      <c r="O105" s="973"/>
      <c r="P105" s="973"/>
      <c r="Q105" s="973"/>
      <c r="R105" s="973"/>
      <c r="S105" s="859"/>
      <c r="T105" s="859"/>
      <c r="U105" s="859"/>
      <c r="V105" s="859"/>
      <c r="W105" s="859"/>
      <c r="X105" s="859"/>
      <c r="Y105" s="1016"/>
      <c r="Z105" s="862"/>
      <c r="AA105" s="865"/>
      <c r="AB105" s="862"/>
      <c r="AC105" s="862"/>
      <c r="AD105" s="862"/>
    </row>
    <row customHeight="1" ht="9">
      <c r="A106" s="861"/>
      <c r="B106" s="861"/>
      <c r="C106" s="859"/>
      <c r="D106" s="859"/>
      <c r="E106" s="859"/>
      <c r="F106" s="859"/>
      <c r="G106" s="859"/>
      <c r="H106" s="907"/>
      <c r="I106" s="907"/>
      <c r="J106" s="907"/>
      <c r="K106" s="907"/>
      <c r="L106" s="907"/>
      <c r="M106" s="859"/>
      <c r="N106" s="906"/>
      <c r="O106" s="973"/>
      <c r="P106" s="973"/>
      <c r="Q106" s="973"/>
      <c r="R106" s="973"/>
      <c r="S106" s="859"/>
      <c r="T106" s="859"/>
      <c r="U106" s="859"/>
      <c r="V106" s="859"/>
      <c r="W106" s="859"/>
      <c r="X106" s="859"/>
      <c r="Y106" s="1016"/>
      <c r="Z106" s="862"/>
      <c r="AA106" s="865"/>
      <c r="AB106" s="862"/>
      <c r="AC106" s="862"/>
      <c r="AD106" s="862"/>
    </row>
    <row customHeight="1" ht="9">
      <c r="A107" s="861"/>
      <c r="B107" s="861"/>
      <c r="C107" s="859"/>
      <c r="D107" s="859"/>
      <c r="E107" s="859"/>
      <c r="F107" s="859"/>
      <c r="G107" s="859"/>
      <c r="H107" s="907"/>
      <c r="I107" s="907"/>
      <c r="J107" s="907"/>
      <c r="K107" s="907"/>
      <c r="L107" s="907"/>
      <c r="M107" s="859"/>
      <c r="N107" s="906"/>
      <c r="O107" s="973"/>
      <c r="P107" s="973"/>
      <c r="Q107" s="973"/>
      <c r="R107" s="973"/>
      <c r="S107" s="859"/>
      <c r="T107" s="859"/>
      <c r="U107" s="859"/>
      <c r="V107" s="859"/>
      <c r="W107" s="859"/>
      <c r="X107" s="859"/>
      <c r="Y107" s="1016"/>
      <c r="Z107" s="862"/>
      <c r="AA107" s="865"/>
      <c r="AB107" s="862"/>
      <c r="AC107" s="862"/>
      <c r="AD107" s="862"/>
    </row>
    <row customHeight="1" ht="9">
      <c r="A108" s="861"/>
      <c r="B108" s="861"/>
      <c r="C108" s="859"/>
      <c r="D108" s="859"/>
      <c r="E108" s="859"/>
      <c r="F108" s="859"/>
      <c r="G108" s="859"/>
      <c r="H108" s="907"/>
      <c r="I108" s="907"/>
      <c r="J108" s="907"/>
      <c r="K108" s="907"/>
      <c r="L108" s="907"/>
      <c r="M108" s="859"/>
      <c r="N108" s="906"/>
      <c r="O108" s="973"/>
      <c r="P108" s="973"/>
      <c r="Q108" s="973"/>
      <c r="R108" s="973"/>
      <c r="S108" s="859"/>
      <c r="T108" s="859"/>
      <c r="U108" s="859"/>
      <c r="V108" s="859"/>
      <c r="W108" s="859"/>
      <c r="X108" s="859"/>
      <c r="Y108" s="1016"/>
      <c r="Z108" s="862"/>
      <c r="AA108" s="865"/>
      <c r="AB108" s="862"/>
      <c r="AC108" s="862"/>
      <c r="AD108" s="862"/>
    </row>
    <row customHeight="1" ht="9">
      <c r="A109" s="861"/>
      <c r="B109" s="861"/>
      <c r="C109" s="859"/>
      <c r="D109" s="859"/>
      <c r="E109" s="859"/>
      <c r="F109" s="859"/>
      <c r="G109" s="859"/>
      <c r="H109" s="907"/>
      <c r="I109" s="907"/>
      <c r="J109" s="907"/>
      <c r="K109" s="907"/>
      <c r="L109" s="907"/>
      <c r="M109" s="859"/>
      <c r="N109" s="906"/>
      <c r="O109" s="973"/>
      <c r="P109" s="973"/>
      <c r="Q109" s="973"/>
      <c r="R109" s="973"/>
      <c r="S109" s="859"/>
      <c r="T109" s="859"/>
      <c r="U109" s="859"/>
      <c r="V109" s="859"/>
      <c r="W109" s="859"/>
      <c r="X109" s="859"/>
      <c r="Y109" s="1016"/>
      <c r="Z109" s="862"/>
      <c r="AA109" s="865"/>
      <c r="AB109" s="862"/>
      <c r="AC109" s="862"/>
      <c r="AD109" s="862"/>
    </row>
    <row customHeight="1" ht="9">
      <c r="A110" s="861"/>
      <c r="B110" s="861"/>
      <c r="C110" s="859"/>
      <c r="D110" s="859"/>
      <c r="E110" s="859"/>
      <c r="F110" s="859"/>
      <c r="G110" s="859"/>
      <c r="H110" s="907"/>
      <c r="I110" s="907"/>
      <c r="J110" s="907"/>
      <c r="K110" s="907"/>
      <c r="L110" s="907"/>
      <c r="M110" s="859"/>
      <c r="N110" s="906"/>
      <c r="O110" s="973"/>
      <c r="P110" s="973"/>
      <c r="Q110" s="973"/>
      <c r="R110" s="973"/>
      <c r="S110" s="859"/>
      <c r="T110" s="859"/>
      <c r="U110" s="859"/>
      <c r="V110" s="859"/>
      <c r="W110" s="859"/>
      <c r="X110" s="859"/>
      <c r="Y110" s="1016"/>
      <c r="Z110" s="862"/>
      <c r="AA110" s="865"/>
      <c r="AB110" s="862"/>
      <c r="AC110" s="862"/>
      <c r="AD110" s="862"/>
    </row>
    <row customHeight="1" ht="9">
      <c r="A111" s="861"/>
      <c r="B111" s="861"/>
      <c r="C111" s="859"/>
      <c r="D111" s="859"/>
      <c r="E111" s="859"/>
      <c r="F111" s="859"/>
      <c r="G111" s="859"/>
      <c r="H111" s="907"/>
      <c r="I111" s="907"/>
      <c r="J111" s="907"/>
      <c r="K111" s="907"/>
      <c r="L111" s="907"/>
      <c r="M111" s="859"/>
      <c r="N111" s="906"/>
      <c r="O111" s="973"/>
      <c r="P111" s="973"/>
      <c r="Q111" s="973"/>
      <c r="R111" s="973"/>
      <c r="S111" s="859"/>
      <c r="T111" s="859"/>
      <c r="U111" s="859"/>
      <c r="V111" s="859"/>
      <c r="W111" s="859"/>
      <c r="X111" s="859"/>
      <c r="Y111" s="1016"/>
      <c r="Z111" s="862"/>
      <c r="AA111" s="865"/>
      <c r="AB111" s="862"/>
      <c r="AC111" s="862"/>
      <c r="AD111" s="862"/>
    </row>
    <row customHeight="1" ht="9">
      <c r="A112" s="861"/>
      <c r="B112" s="861"/>
      <c r="C112" s="859"/>
      <c r="D112" s="859"/>
      <c r="E112" s="859"/>
      <c r="F112" s="859"/>
      <c r="G112" s="859"/>
      <c r="H112" s="907"/>
      <c r="I112" s="907"/>
      <c r="J112" s="907"/>
      <c r="K112" s="907"/>
      <c r="L112" s="907"/>
      <c r="M112" s="859"/>
      <c r="N112" s="906"/>
      <c r="O112" s="973"/>
      <c r="P112" s="973"/>
      <c r="Q112" s="973"/>
      <c r="R112" s="973"/>
      <c r="S112" s="859"/>
      <c r="T112" s="859"/>
      <c r="U112" s="859"/>
      <c r="V112" s="859"/>
      <c r="W112" s="859"/>
      <c r="X112" s="859"/>
      <c r="Y112" s="1016"/>
      <c r="Z112" s="862"/>
      <c r="AA112" s="865"/>
      <c r="AB112" s="862"/>
      <c r="AC112" s="862"/>
      <c r="AD112" s="862"/>
    </row>
    <row customHeight="1" ht="9">
      <c r="A113" s="861"/>
      <c r="B113" s="861"/>
      <c r="C113" s="859"/>
      <c r="D113" s="859"/>
      <c r="E113" s="859"/>
      <c r="F113" s="859"/>
      <c r="G113" s="859"/>
      <c r="H113" s="907"/>
      <c r="I113" s="907"/>
      <c r="J113" s="907"/>
      <c r="K113" s="907"/>
      <c r="L113" s="907"/>
      <c r="M113" s="859"/>
      <c r="N113" s="906"/>
      <c r="O113" s="973"/>
      <c r="P113" s="973"/>
      <c r="Q113" s="973"/>
      <c r="R113" s="973"/>
      <c r="S113" s="859"/>
      <c r="T113" s="859"/>
      <c r="U113" s="859"/>
      <c r="V113" s="859"/>
      <c r="W113" s="859"/>
      <c r="X113" s="859"/>
      <c r="Y113" s="1016"/>
      <c r="Z113" s="862"/>
      <c r="AA113" s="865"/>
      <c r="AB113" s="862"/>
      <c r="AC113" s="862"/>
      <c r="AD113" s="862"/>
    </row>
    <row customHeight="1" ht="9">
      <c r="A114" s="861"/>
      <c r="B114" s="861"/>
      <c r="C114" s="859"/>
      <c r="D114" s="859"/>
      <c r="E114" s="859"/>
      <c r="F114" s="859"/>
      <c r="G114" s="859"/>
      <c r="H114" s="907"/>
      <c r="I114" s="907"/>
      <c r="J114" s="907"/>
      <c r="K114" s="907"/>
      <c r="L114" s="907"/>
      <c r="M114" s="859"/>
      <c r="N114" s="906"/>
      <c r="O114" s="973"/>
      <c r="P114" s="973"/>
      <c r="Q114" s="973"/>
      <c r="R114" s="973"/>
      <c r="S114" s="859"/>
      <c r="T114" s="859"/>
      <c r="U114" s="859"/>
      <c r="V114" s="859"/>
      <c r="W114" s="859"/>
      <c r="X114" s="859"/>
      <c r="Y114" s="1016"/>
      <c r="Z114" s="862"/>
      <c r="AA114" s="865"/>
      <c r="AB114" s="862"/>
      <c r="AC114" s="862"/>
      <c r="AD114" s="862"/>
    </row>
    <row customHeight="1" ht="9">
      <c r="A115" s="861"/>
      <c r="B115" s="861"/>
      <c r="C115" s="859"/>
      <c r="D115" s="859"/>
      <c r="E115" s="859"/>
      <c r="F115" s="859"/>
      <c r="G115" s="859"/>
      <c r="H115" s="907"/>
      <c r="I115" s="907"/>
      <c r="J115" s="907"/>
      <c r="K115" s="907"/>
      <c r="L115" s="907"/>
      <c r="M115" s="859"/>
      <c r="N115" s="906"/>
      <c r="O115" s="973"/>
      <c r="P115" s="973"/>
      <c r="Q115" s="973"/>
      <c r="R115" s="973"/>
      <c r="S115" s="859"/>
      <c r="T115" s="859"/>
      <c r="U115" s="859"/>
      <c r="V115" s="859"/>
      <c r="W115" s="859"/>
      <c r="X115" s="859"/>
      <c r="Y115" s="1016"/>
      <c r="Z115" s="862"/>
      <c r="AA115" s="865"/>
      <c r="AB115" s="862"/>
      <c r="AC115" s="862"/>
      <c r="AD115" s="862"/>
    </row>
    <row customHeight="1" ht="9">
      <c r="A116" s="861"/>
      <c r="B116" s="861"/>
      <c r="C116" s="859"/>
      <c r="D116" s="859"/>
      <c r="E116" s="859"/>
      <c r="F116" s="859"/>
      <c r="G116" s="859"/>
      <c r="H116" s="907"/>
      <c r="I116" s="907"/>
      <c r="J116" s="907"/>
      <c r="K116" s="907"/>
      <c r="L116" s="907"/>
      <c r="M116" s="859"/>
      <c r="N116" s="906"/>
      <c r="O116" s="973"/>
      <c r="P116" s="973"/>
      <c r="Q116" s="973"/>
      <c r="R116" s="973"/>
      <c r="S116" s="859"/>
      <c r="T116" s="859"/>
      <c r="U116" s="859"/>
      <c r="V116" s="859"/>
      <c r="W116" s="859"/>
      <c r="X116" s="859"/>
      <c r="Y116" s="1016"/>
      <c r="Z116" s="862"/>
      <c r="AA116" s="865"/>
      <c r="AB116" s="862"/>
      <c r="AC116" s="862"/>
      <c r="AD116" s="862"/>
    </row>
    <row customHeight="1" ht="9">
      <c r="A117" s="861"/>
      <c r="B117" s="861"/>
      <c r="C117" s="859"/>
      <c r="D117" s="859"/>
      <c r="E117" s="859"/>
      <c r="F117" s="859"/>
      <c r="G117" s="859"/>
      <c r="H117" s="907"/>
      <c r="I117" s="907"/>
      <c r="J117" s="907"/>
      <c r="K117" s="907"/>
      <c r="L117" s="907"/>
      <c r="M117" s="859"/>
      <c r="N117" s="906"/>
      <c r="O117" s="973"/>
      <c r="P117" s="973"/>
      <c r="Q117" s="973"/>
      <c r="R117" s="973"/>
      <c r="S117" s="859"/>
      <c r="T117" s="859"/>
      <c r="U117" s="859"/>
      <c r="V117" s="859"/>
      <c r="W117" s="859"/>
      <c r="X117" s="859"/>
      <c r="Y117" s="1016"/>
      <c r="Z117" s="862"/>
      <c r="AA117" s="865"/>
      <c r="AB117" s="862"/>
      <c r="AC117" s="862"/>
      <c r="AD117" s="862"/>
    </row>
    <row customHeight="1" ht="9">
      <c r="A118" s="861"/>
      <c r="B118" s="861"/>
      <c r="C118" s="859"/>
      <c r="D118" s="859"/>
      <c r="E118" s="859"/>
      <c r="F118" s="859"/>
      <c r="G118" s="859"/>
      <c r="H118" s="907"/>
      <c r="I118" s="907"/>
      <c r="J118" s="907"/>
      <c r="K118" s="907"/>
      <c r="L118" s="907"/>
      <c r="M118" s="859"/>
      <c r="N118" s="906"/>
      <c r="O118" s="973"/>
      <c r="P118" s="973"/>
      <c r="Q118" s="973"/>
      <c r="R118" s="973"/>
      <c r="S118" s="859"/>
      <c r="T118" s="859"/>
      <c r="U118" s="859"/>
      <c r="V118" s="859"/>
      <c r="W118" s="859"/>
      <c r="X118" s="859"/>
      <c r="Y118" s="1016"/>
      <c r="Z118" s="862"/>
      <c r="AA118" s="865"/>
      <c r="AB118" s="862"/>
      <c r="AC118" s="862"/>
      <c r="AD118" s="862"/>
    </row>
    <row customHeight="1" ht="9">
      <c r="A119" s="861"/>
      <c r="B119" s="861"/>
      <c r="C119" s="859"/>
      <c r="D119" s="859"/>
      <c r="E119" s="859"/>
      <c r="F119" s="859"/>
      <c r="G119" s="859"/>
      <c r="H119" s="907"/>
      <c r="I119" s="907"/>
      <c r="J119" s="907"/>
      <c r="K119" s="907"/>
      <c r="L119" s="907"/>
      <c r="M119" s="859"/>
      <c r="N119" s="906"/>
      <c r="O119" s="973"/>
      <c r="P119" s="973"/>
      <c r="Q119" s="973"/>
      <c r="R119" s="973"/>
      <c r="S119" s="859"/>
      <c r="T119" s="859"/>
      <c r="U119" s="859"/>
      <c r="V119" s="859"/>
      <c r="W119" s="859"/>
      <c r="X119" s="859"/>
      <c r="Y119" s="1016"/>
      <c r="Z119" s="862"/>
      <c r="AA119" s="865"/>
      <c r="AB119" s="862"/>
      <c r="AC119" s="862"/>
      <c r="AD119" s="862"/>
    </row>
    <row customHeight="1" ht="9">
      <c r="A120" s="861"/>
      <c r="B120" s="861"/>
      <c r="C120" s="859"/>
      <c r="D120" s="859"/>
      <c r="E120" s="859"/>
      <c r="F120" s="859"/>
      <c r="G120" s="859"/>
      <c r="H120" s="907"/>
      <c r="I120" s="907"/>
      <c r="J120" s="907"/>
      <c r="K120" s="907"/>
      <c r="L120" s="907"/>
      <c r="M120" s="859"/>
      <c r="N120" s="906"/>
      <c r="O120" s="973"/>
      <c r="P120" s="973"/>
      <c r="Q120" s="973"/>
      <c r="R120" s="973"/>
      <c r="S120" s="859"/>
      <c r="T120" s="859"/>
      <c r="U120" s="859"/>
      <c r="V120" s="859"/>
      <c r="W120" s="859"/>
      <c r="X120" s="859"/>
      <c r="Y120" s="1016"/>
      <c r="Z120" s="862"/>
      <c r="AA120" s="865"/>
      <c r="AB120" s="862"/>
      <c r="AC120" s="862"/>
      <c r="AD120" s="862"/>
    </row>
    <row customHeight="1" ht="9">
      <c r="A121" s="861"/>
      <c r="B121" s="861"/>
      <c r="C121" s="859"/>
      <c r="D121" s="859"/>
      <c r="E121" s="859"/>
      <c r="F121" s="859"/>
      <c r="G121" s="859"/>
      <c r="H121" s="907"/>
      <c r="I121" s="907"/>
      <c r="J121" s="907"/>
      <c r="K121" s="907"/>
      <c r="L121" s="907"/>
      <c r="M121" s="859"/>
      <c r="N121" s="906"/>
      <c r="O121" s="973"/>
      <c r="P121" s="973"/>
      <c r="Q121" s="973"/>
      <c r="R121" s="973"/>
      <c r="S121" s="859"/>
      <c r="T121" s="859"/>
      <c r="U121" s="859"/>
      <c r="V121" s="859"/>
      <c r="W121" s="859"/>
      <c r="X121" s="859"/>
      <c r="Y121" s="1016"/>
      <c r="Z121" s="862"/>
      <c r="AA121" s="865"/>
      <c r="AB121" s="862"/>
      <c r="AC121" s="862"/>
      <c r="AD121" s="862"/>
    </row>
    <row customHeight="1" ht="9">
      <c r="A122" s="861"/>
      <c r="B122" s="861"/>
      <c r="C122" s="859"/>
      <c r="D122" s="859"/>
      <c r="E122" s="859"/>
      <c r="F122" s="859"/>
      <c r="G122" s="859"/>
      <c r="H122" s="907"/>
      <c r="I122" s="907"/>
      <c r="J122" s="907"/>
      <c r="K122" s="907"/>
      <c r="L122" s="907"/>
      <c r="M122" s="859"/>
      <c r="N122" s="906"/>
      <c r="O122" s="973"/>
      <c r="P122" s="973"/>
      <c r="Q122" s="973"/>
      <c r="R122" s="973"/>
      <c r="S122" s="859"/>
      <c r="T122" s="859"/>
      <c r="U122" s="859"/>
      <c r="V122" s="859"/>
      <c r="W122" s="859"/>
      <c r="X122" s="859"/>
      <c r="Y122" s="1016"/>
      <c r="Z122" s="862"/>
      <c r="AA122" s="865"/>
      <c r="AB122" s="862"/>
      <c r="AC122" s="862"/>
      <c r="AD122" s="862"/>
    </row>
    <row customHeight="1" ht="9">
      <c r="A123" s="861"/>
      <c r="B123" s="861"/>
      <c r="C123" s="859"/>
      <c r="D123" s="859"/>
      <c r="E123" s="859"/>
      <c r="F123" s="859"/>
      <c r="G123" s="859"/>
      <c r="H123" s="907"/>
      <c r="I123" s="907"/>
      <c r="J123" s="907"/>
      <c r="K123" s="907"/>
      <c r="L123" s="907"/>
      <c r="M123" s="859"/>
      <c r="N123" s="906"/>
      <c r="O123" s="973"/>
      <c r="P123" s="973"/>
      <c r="Q123" s="973"/>
      <c r="R123" s="973"/>
      <c r="S123" s="859"/>
      <c r="T123" s="859"/>
      <c r="U123" s="859"/>
      <c r="V123" s="859"/>
      <c r="W123" s="859"/>
      <c r="X123" s="859"/>
      <c r="Y123" s="1016"/>
      <c r="Z123" s="862"/>
      <c r="AA123" s="865"/>
      <c r="AB123" s="862"/>
      <c r="AC123" s="862"/>
      <c r="AD123" s="862"/>
    </row>
    <row customHeight="1" ht="9">
      <c r="A124" s="861"/>
      <c r="B124" s="861"/>
      <c r="C124" s="859"/>
      <c r="D124" s="859"/>
      <c r="E124" s="859"/>
      <c r="F124" s="859"/>
      <c r="G124" s="859"/>
      <c r="H124" s="907"/>
      <c r="I124" s="907"/>
      <c r="J124" s="907"/>
      <c r="K124" s="907"/>
      <c r="L124" s="907"/>
      <c r="M124" s="859"/>
      <c r="N124" s="906"/>
      <c r="O124" s="973"/>
      <c r="P124" s="973"/>
      <c r="Q124" s="973"/>
      <c r="R124" s="973"/>
      <c r="S124" s="859"/>
      <c r="T124" s="859"/>
      <c r="U124" s="859"/>
      <c r="V124" s="859"/>
      <c r="W124" s="859"/>
      <c r="X124" s="859"/>
      <c r="Y124" s="1016"/>
      <c r="Z124" s="862"/>
      <c r="AA124" s="865"/>
      <c r="AB124" s="862"/>
      <c r="AC124" s="862"/>
      <c r="AD124" s="862"/>
    </row>
    <row customHeight="1" ht="9">
      <c r="A125" s="861"/>
      <c r="B125" s="861"/>
      <c r="C125" s="859"/>
      <c r="D125" s="859"/>
      <c r="E125" s="859"/>
      <c r="F125" s="859"/>
      <c r="G125" s="859"/>
      <c r="H125" s="907"/>
      <c r="I125" s="907"/>
      <c r="J125" s="907"/>
      <c r="K125" s="907"/>
      <c r="L125" s="907"/>
      <c r="M125" s="859"/>
      <c r="N125" s="906"/>
      <c r="O125" s="973"/>
      <c r="P125" s="973"/>
      <c r="Q125" s="973"/>
      <c r="R125" s="973"/>
      <c r="S125" s="859"/>
      <c r="T125" s="859"/>
      <c r="U125" s="859"/>
      <c r="V125" s="859"/>
      <c r="W125" s="859"/>
      <c r="X125" s="859"/>
      <c r="Y125" s="1016"/>
      <c r="Z125" s="862"/>
      <c r="AA125" s="865"/>
      <c r="AB125" s="862"/>
      <c r="AC125" s="862"/>
      <c r="AD125" s="862"/>
    </row>
    <row customHeight="1" ht="9">
      <c r="A126" s="861"/>
      <c r="B126" s="861"/>
      <c r="C126" s="859"/>
      <c r="D126" s="859"/>
      <c r="E126" s="859"/>
      <c r="F126" s="859"/>
      <c r="G126" s="859"/>
      <c r="H126" s="907"/>
      <c r="I126" s="907"/>
      <c r="J126" s="907"/>
      <c r="K126" s="907"/>
      <c r="L126" s="907"/>
      <c r="M126" s="859"/>
      <c r="N126" s="906"/>
      <c r="O126" s="973"/>
      <c r="P126" s="973"/>
      <c r="Q126" s="973"/>
      <c r="R126" s="973"/>
      <c r="S126" s="859"/>
      <c r="T126" s="859"/>
      <c r="U126" s="859"/>
      <c r="V126" s="859"/>
      <c r="W126" s="859"/>
      <c r="X126" s="859"/>
      <c r="Y126" s="1016"/>
      <c r="Z126" s="862"/>
      <c r="AA126" s="865"/>
      <c r="AB126" s="862"/>
      <c r="AC126" s="862"/>
      <c r="AD126" s="862"/>
    </row>
    <row customHeight="1" ht="9">
      <c r="A127" s="861"/>
      <c r="B127" s="861"/>
      <c r="C127" s="859"/>
      <c r="D127" s="859"/>
      <c r="E127" s="859"/>
      <c r="F127" s="859"/>
      <c r="G127" s="859"/>
      <c r="H127" s="907"/>
      <c r="I127" s="907"/>
      <c r="J127" s="907"/>
      <c r="K127" s="907"/>
      <c r="L127" s="907"/>
      <c r="M127" s="859"/>
      <c r="N127" s="906"/>
      <c r="O127" s="973"/>
      <c r="P127" s="973"/>
      <c r="Q127" s="973"/>
      <c r="R127" s="973"/>
      <c r="S127" s="859"/>
      <c r="T127" s="859"/>
      <c r="U127" s="859"/>
      <c r="V127" s="859"/>
      <c r="W127" s="859"/>
      <c r="X127" s="859"/>
      <c r="Y127" s="1016"/>
      <c r="Z127" s="862"/>
      <c r="AA127" s="865"/>
      <c r="AB127" s="862"/>
      <c r="AC127" s="862"/>
      <c r="AD127" s="862"/>
    </row>
    <row customHeight="1" ht="9">
      <c r="A128" s="861"/>
      <c r="B128" s="861"/>
      <c r="C128" s="859"/>
      <c r="D128" s="859"/>
      <c r="E128" s="859"/>
      <c r="F128" s="859"/>
      <c r="G128" s="859"/>
      <c r="H128" s="907"/>
      <c r="I128" s="907"/>
      <c r="J128" s="907"/>
      <c r="K128" s="907"/>
      <c r="L128" s="907"/>
      <c r="M128" s="859"/>
      <c r="N128" s="906"/>
      <c r="O128" s="973"/>
      <c r="P128" s="973"/>
      <c r="Q128" s="973"/>
      <c r="R128" s="973"/>
      <c r="S128" s="859"/>
      <c r="T128" s="859"/>
      <c r="U128" s="859"/>
      <c r="V128" s="859"/>
      <c r="W128" s="859"/>
      <c r="X128" s="859"/>
      <c r="Y128" s="1016"/>
      <c r="Z128" s="862"/>
      <c r="AA128" s="865"/>
      <c r="AB128" s="862"/>
      <c r="AC128" s="862"/>
      <c r="AD128" s="862"/>
    </row>
    <row customHeight="1" ht="9">
      <c r="A129" s="861"/>
      <c r="B129" s="861"/>
      <c r="C129" s="859"/>
      <c r="D129" s="859"/>
      <c r="E129" s="859"/>
      <c r="F129" s="859"/>
      <c r="G129" s="859"/>
      <c r="H129" s="907"/>
      <c r="I129" s="907"/>
      <c r="J129" s="907"/>
      <c r="K129" s="907"/>
      <c r="L129" s="907"/>
      <c r="M129" s="859"/>
      <c r="N129" s="906"/>
      <c r="O129" s="973"/>
      <c r="P129" s="973"/>
      <c r="Q129" s="973"/>
      <c r="R129" s="973"/>
      <c r="S129" s="859"/>
      <c r="T129" s="859"/>
      <c r="U129" s="859"/>
      <c r="V129" s="859"/>
      <c r="W129" s="859"/>
      <c r="X129" s="859"/>
      <c r="Y129" s="1016"/>
      <c r="Z129" s="862"/>
      <c r="AA129" s="865"/>
      <c r="AB129" s="862"/>
      <c r="AC129" s="862"/>
      <c r="AD129" s="862"/>
    </row>
    <row customHeight="1" ht="9">
      <c r="A130" s="861"/>
      <c r="B130" s="861"/>
      <c r="C130" s="859"/>
      <c r="D130" s="859"/>
      <c r="E130" s="859"/>
      <c r="F130" s="859"/>
      <c r="G130" s="859"/>
      <c r="H130" s="907"/>
      <c r="I130" s="907"/>
      <c r="J130" s="907"/>
      <c r="K130" s="907"/>
      <c r="L130" s="907"/>
      <c r="M130" s="859"/>
      <c r="N130" s="906"/>
      <c r="O130" s="975"/>
      <c r="P130" s="975"/>
      <c r="Q130" s="975"/>
      <c r="R130" s="975"/>
      <c r="S130" s="859"/>
      <c r="T130" s="859"/>
      <c r="U130" s="859"/>
      <c r="V130" s="859"/>
      <c r="W130" s="859"/>
      <c r="X130" s="859"/>
      <c r="Y130" s="1016"/>
      <c r="Z130" s="862"/>
      <c r="AA130" s="865"/>
      <c r="AB130" s="862"/>
      <c r="AC130" s="862"/>
      <c r="AD130" s="862"/>
    </row>
    <row customHeight="1" ht="9">
      <c r="A131" s="861"/>
      <c r="B131" s="861"/>
      <c r="C131" s="859"/>
      <c r="D131" s="859"/>
      <c r="E131" s="859"/>
      <c r="F131" s="859"/>
      <c r="G131" s="859"/>
      <c r="H131" s="907"/>
      <c r="I131" s="907"/>
      <c r="J131" s="907"/>
      <c r="K131" s="907"/>
      <c r="L131" s="907"/>
      <c r="M131" s="859"/>
      <c r="N131" s="906"/>
      <c r="O131" s="976"/>
      <c r="P131" s="976"/>
      <c r="Q131" s="976"/>
      <c r="R131" s="976"/>
      <c r="S131" s="859"/>
      <c r="T131" s="859"/>
      <c r="U131" s="859"/>
      <c r="V131" s="859"/>
      <c r="W131" s="859"/>
      <c r="X131" s="859"/>
      <c r="Y131" s="1016"/>
      <c r="Z131" s="862"/>
      <c r="AA131" s="865"/>
      <c r="AB131" s="862"/>
      <c r="AC131" s="862"/>
      <c r="AD131" s="862"/>
    </row>
    <row customHeight="1" ht="9">
      <c r="A132" s="861"/>
      <c r="B132" s="861"/>
      <c r="C132" s="859"/>
      <c r="D132" s="859"/>
      <c r="E132" s="859"/>
      <c r="F132" s="859"/>
      <c r="G132" s="859"/>
      <c r="H132" s="907"/>
      <c r="I132" s="907"/>
      <c r="J132" s="907"/>
      <c r="K132" s="907"/>
      <c r="L132" s="907"/>
      <c r="M132" s="859"/>
      <c r="N132" s="906"/>
      <c r="O132" s="975"/>
      <c r="P132" s="975"/>
      <c r="Q132" s="975"/>
      <c r="R132" s="975"/>
      <c r="S132" s="859"/>
      <c r="T132" s="859"/>
      <c r="U132" s="859"/>
      <c r="V132" s="859"/>
      <c r="W132" s="859"/>
      <c r="X132" s="859"/>
      <c r="Y132" s="1016"/>
      <c r="Z132" s="862"/>
      <c r="AA132" s="865"/>
      <c r="AB132" s="862"/>
      <c r="AC132" s="862"/>
      <c r="AD132" s="862"/>
    </row>
    <row customHeight="1" ht="9">
      <c r="A133" s="861"/>
      <c r="B133" s="861"/>
      <c r="C133" s="859"/>
      <c r="D133" s="859"/>
      <c r="E133" s="859"/>
      <c r="F133" s="859"/>
      <c r="G133" s="859"/>
      <c r="H133" s="907"/>
      <c r="I133" s="907"/>
      <c r="J133" s="907"/>
      <c r="K133" s="907"/>
      <c r="L133" s="907"/>
      <c r="M133" s="859"/>
      <c r="N133" s="906"/>
      <c r="O133" s="976"/>
      <c r="P133" s="976"/>
      <c r="Q133" s="976"/>
      <c r="R133" s="976"/>
      <c r="S133" s="859"/>
      <c r="T133" s="859"/>
      <c r="U133" s="859"/>
      <c r="V133" s="859"/>
      <c r="W133" s="859"/>
      <c r="X133" s="859"/>
      <c r="Y133" s="1016"/>
      <c r="Z133" s="862"/>
      <c r="AA133" s="865"/>
      <c r="AB133" s="862"/>
      <c r="AC133" s="862"/>
      <c r="AD133" s="862"/>
    </row>
    <row customHeight="1" ht="9">
      <c r="A134" s="861"/>
      <c r="B134" s="861"/>
      <c r="C134" s="859"/>
      <c r="D134" s="859"/>
      <c r="E134" s="859"/>
      <c r="F134" s="859"/>
      <c r="G134" s="859"/>
      <c r="H134" s="907"/>
      <c r="I134" s="907"/>
      <c r="J134" s="907"/>
      <c r="K134" s="907"/>
      <c r="L134" s="907"/>
      <c r="M134" s="859"/>
      <c r="N134" s="906"/>
      <c r="O134" s="973"/>
      <c r="P134" s="973"/>
      <c r="Q134" s="973"/>
      <c r="R134" s="973"/>
      <c r="S134" s="859"/>
      <c r="T134" s="859"/>
      <c r="U134" s="859"/>
      <c r="V134" s="859"/>
      <c r="W134" s="859"/>
      <c r="X134" s="859"/>
      <c r="Y134" s="1016"/>
      <c r="Z134" s="862"/>
      <c r="AA134" s="865"/>
      <c r="AB134" s="862"/>
      <c r="AC134" s="862"/>
      <c r="AD134" s="862"/>
    </row>
    <row customHeight="1" ht="9">
      <c r="A135" s="861"/>
      <c r="B135" s="861"/>
      <c r="C135" s="859"/>
      <c r="D135" s="859"/>
      <c r="E135" s="859"/>
      <c r="F135" s="859"/>
      <c r="G135" s="859"/>
      <c r="H135" s="907"/>
      <c r="I135" s="907"/>
      <c r="J135" s="907"/>
      <c r="K135" s="907"/>
      <c r="L135" s="907"/>
      <c r="M135" s="859"/>
      <c r="N135" s="906"/>
      <c r="O135" s="973"/>
      <c r="P135" s="973"/>
      <c r="Q135" s="973"/>
      <c r="R135" s="973"/>
      <c r="S135" s="859"/>
      <c r="T135" s="859"/>
      <c r="U135" s="859"/>
      <c r="V135" s="859"/>
      <c r="W135" s="859"/>
      <c r="X135" s="859"/>
      <c r="Y135" s="1016"/>
      <c r="Z135" s="862"/>
      <c r="AA135" s="865"/>
      <c r="AB135" s="862"/>
      <c r="AC135" s="862"/>
      <c r="AD135" s="862"/>
    </row>
    <row customHeight="1" ht="9">
      <c r="A136" s="861"/>
      <c r="B136" s="861"/>
      <c r="C136" s="859"/>
      <c r="D136" s="859"/>
      <c r="E136" s="859"/>
      <c r="F136" s="859"/>
      <c r="G136" s="859"/>
      <c r="H136" s="907"/>
      <c r="I136" s="907"/>
      <c r="J136" s="907"/>
      <c r="K136" s="907"/>
      <c r="L136" s="907"/>
      <c r="M136" s="859"/>
      <c r="N136" s="906"/>
      <c r="O136" s="973"/>
      <c r="P136" s="973"/>
      <c r="Q136" s="973"/>
      <c r="R136" s="973"/>
      <c r="S136" s="859"/>
      <c r="T136" s="859"/>
      <c r="U136" s="859"/>
      <c r="V136" s="859"/>
      <c r="W136" s="859"/>
      <c r="X136" s="859"/>
      <c r="Y136" s="1016"/>
      <c r="Z136" s="862"/>
      <c r="AA136" s="865"/>
      <c r="AB136" s="862"/>
      <c r="AC136" s="862"/>
      <c r="AD136" s="862"/>
    </row>
    <row customHeight="1" ht="9">
      <c r="A137" s="861"/>
      <c r="B137" s="861"/>
      <c r="C137" s="859"/>
      <c r="D137" s="859"/>
      <c r="E137" s="859"/>
      <c r="F137" s="859"/>
      <c r="G137" s="859"/>
      <c r="H137" s="907"/>
      <c r="I137" s="907"/>
      <c r="J137" s="907"/>
      <c r="K137" s="907"/>
      <c r="L137" s="907"/>
      <c r="M137" s="859"/>
      <c r="N137" s="906"/>
      <c r="O137" s="977"/>
      <c r="P137" s="977"/>
      <c r="Q137" s="977"/>
      <c r="R137" s="977"/>
      <c r="S137" s="859"/>
      <c r="T137" s="859"/>
      <c r="U137" s="859"/>
      <c r="V137" s="859"/>
      <c r="W137" s="859"/>
      <c r="X137" s="859"/>
      <c r="Y137" s="1016"/>
      <c r="Z137" s="862"/>
      <c r="AA137" s="865"/>
      <c r="AB137" s="862"/>
      <c r="AC137" s="862"/>
      <c r="AD137" s="862"/>
    </row>
    <row customHeight="1" ht="9">
      <c r="A138" s="861"/>
      <c r="B138" s="861"/>
      <c r="C138" s="859"/>
      <c r="D138" s="859"/>
      <c r="E138" s="859"/>
      <c r="F138" s="859"/>
      <c r="G138" s="859"/>
      <c r="H138" s="907"/>
      <c r="I138" s="907"/>
      <c r="J138" s="907"/>
      <c r="K138" s="907"/>
      <c r="L138" s="907"/>
      <c r="M138" s="859"/>
      <c r="N138" s="906"/>
      <c r="O138" s="974"/>
      <c r="P138" s="974"/>
      <c r="Q138" s="974"/>
      <c r="R138" s="974"/>
      <c r="S138" s="859"/>
      <c r="T138" s="859"/>
      <c r="U138" s="859"/>
      <c r="V138" s="859"/>
      <c r="W138" s="859"/>
      <c r="X138" s="859"/>
      <c r="Y138" s="1016"/>
      <c r="Z138" s="862"/>
      <c r="AA138" s="865"/>
      <c r="AB138" s="862"/>
      <c r="AC138" s="862"/>
      <c r="AD138" s="862"/>
    </row>
    <row customHeight="1" ht="9">
      <c r="A139" s="861"/>
      <c r="B139" s="861"/>
      <c r="C139" s="859"/>
      <c r="D139" s="859"/>
      <c r="E139" s="859"/>
      <c r="F139" s="859"/>
      <c r="G139" s="859"/>
      <c r="H139" s="907"/>
      <c r="I139" s="907"/>
      <c r="J139" s="907"/>
      <c r="K139" s="907"/>
      <c r="L139" s="907"/>
      <c r="M139" s="859"/>
      <c r="N139" s="906"/>
      <c r="O139" s="859"/>
      <c r="P139" s="859"/>
      <c r="Q139" s="859"/>
      <c r="R139" s="859"/>
      <c r="S139" s="859"/>
      <c r="T139" s="859"/>
      <c r="U139" s="859"/>
      <c r="V139" s="859"/>
      <c r="W139" s="859"/>
      <c r="X139" s="859"/>
      <c r="Y139" s="1016"/>
      <c r="Z139" s="862"/>
      <c r="AA139" s="865"/>
      <c r="AB139" s="862"/>
      <c r="AC139" s="862"/>
      <c r="AD139" s="862"/>
    </row>
    <row customHeight="1" ht="9">
      <c r="A140" s="861"/>
      <c r="B140" s="861"/>
      <c r="C140" s="859"/>
      <c r="D140" s="859"/>
      <c r="E140" s="859"/>
      <c r="F140" s="859"/>
      <c r="G140" s="859"/>
      <c r="H140" s="907"/>
      <c r="I140" s="907"/>
      <c r="J140" s="907"/>
      <c r="K140" s="907"/>
      <c r="L140" s="907"/>
      <c r="M140" s="859"/>
      <c r="N140" s="906"/>
      <c r="O140" s="859"/>
      <c r="P140" s="859"/>
      <c r="Q140" s="859"/>
      <c r="R140" s="859"/>
      <c r="S140" s="859"/>
      <c r="T140" s="859"/>
      <c r="U140" s="859"/>
      <c r="V140" s="859"/>
      <c r="W140" s="859"/>
      <c r="X140" s="859"/>
      <c r="Y140" s="1016"/>
      <c r="Z140" s="862"/>
      <c r="AA140" s="865"/>
      <c r="AB140" s="862"/>
      <c r="AC140" s="862"/>
      <c r="AD140" s="862"/>
    </row>
    <row customHeight="1" ht="9">
      <c r="A141" s="861"/>
      <c r="B141" s="861"/>
      <c r="C141" s="859"/>
      <c r="D141" s="859"/>
      <c r="E141" s="859"/>
      <c r="F141" s="859"/>
      <c r="G141" s="859"/>
      <c r="H141" s="907"/>
      <c r="I141" s="907"/>
      <c r="J141" s="907"/>
      <c r="K141" s="907"/>
      <c r="L141" s="907"/>
      <c r="M141" s="859"/>
      <c r="N141" s="906"/>
      <c r="O141" s="859"/>
      <c r="P141" s="859"/>
      <c r="Q141" s="859"/>
      <c r="R141" s="859"/>
      <c r="S141" s="859"/>
      <c r="T141" s="859"/>
      <c r="U141" s="859"/>
      <c r="V141" s="859"/>
      <c r="W141" s="859"/>
      <c r="X141" s="859"/>
      <c r="Y141" s="1016"/>
      <c r="Z141" s="862"/>
      <c r="AA141" s="865"/>
      <c r="AB141" s="862"/>
      <c r="AC141" s="862"/>
      <c r="AD141" s="862"/>
    </row>
    <row customHeight="1" ht="9">
      <c r="A142" s="861"/>
      <c r="B142" s="861"/>
      <c r="C142" s="859"/>
      <c r="D142" s="859"/>
      <c r="E142" s="859"/>
      <c r="F142" s="859"/>
      <c r="G142" s="859"/>
      <c r="H142" s="907"/>
      <c r="I142" s="907"/>
      <c r="J142" s="907"/>
      <c r="K142" s="907"/>
      <c r="L142" s="907"/>
      <c r="M142" s="859"/>
      <c r="N142" s="906"/>
      <c r="O142" s="859"/>
      <c r="P142" s="859"/>
      <c r="Q142" s="859"/>
      <c r="R142" s="859"/>
      <c r="S142" s="859"/>
      <c r="T142" s="859"/>
      <c r="U142" s="859"/>
      <c r="V142" s="859"/>
      <c r="W142" s="859"/>
      <c r="X142" s="859"/>
      <c r="Y142" s="1016"/>
      <c r="Z142" s="862"/>
      <c r="AA142" s="865"/>
      <c r="AB142" s="862"/>
      <c r="AC142" s="862"/>
      <c r="AD142" s="862"/>
    </row>
    <row customHeight="1" ht="9">
      <c r="A143" s="861"/>
      <c r="B143" s="861"/>
      <c r="C143" s="859"/>
      <c r="D143" s="859"/>
      <c r="E143" s="859"/>
      <c r="F143" s="859"/>
      <c r="G143" s="859"/>
      <c r="H143" s="907"/>
      <c r="I143" s="907"/>
      <c r="J143" s="907"/>
      <c r="K143" s="907"/>
      <c r="L143" s="907"/>
      <c r="M143" s="859"/>
      <c r="N143" s="906"/>
      <c r="O143" s="859"/>
      <c r="P143" s="859"/>
      <c r="Q143" s="859"/>
      <c r="R143" s="859"/>
      <c r="S143" s="859"/>
      <c r="T143" s="859"/>
      <c r="U143" s="859"/>
      <c r="V143" s="859"/>
      <c r="W143" s="859"/>
      <c r="X143" s="859"/>
      <c r="Y143" s="1016"/>
      <c r="Z143" s="862"/>
      <c r="AA143" s="865"/>
      <c r="AB143" s="862"/>
      <c r="AC143" s="862"/>
      <c r="AD143" s="862"/>
    </row>
    <row customHeight="1" ht="9">
      <c r="A144" s="861"/>
      <c r="B144" s="861"/>
      <c r="C144" s="859"/>
      <c r="D144" s="859"/>
      <c r="E144" s="859"/>
      <c r="F144" s="859"/>
      <c r="G144" s="859"/>
      <c r="H144" s="907"/>
      <c r="I144" s="907"/>
      <c r="J144" s="907"/>
      <c r="K144" s="907"/>
      <c r="L144" s="907"/>
      <c r="M144" s="859"/>
      <c r="N144" s="906"/>
      <c r="O144" s="859"/>
      <c r="P144" s="859"/>
      <c r="Q144" s="859"/>
      <c r="R144" s="859"/>
      <c r="S144" s="859"/>
      <c r="T144" s="859"/>
      <c r="U144" s="859"/>
      <c r="V144" s="859"/>
      <c r="W144" s="859"/>
      <c r="X144" s="859"/>
      <c r="Y144" s="1016"/>
      <c r="Z144" s="862"/>
      <c r="AA144" s="865"/>
      <c r="AB144" s="862"/>
      <c r="AC144" s="862"/>
      <c r="AD144" s="862"/>
    </row>
    <row customHeight="1" ht="9">
      <c r="A145" s="861"/>
      <c r="B145" s="861"/>
      <c r="C145" s="859"/>
      <c r="D145" s="859"/>
      <c r="E145" s="859"/>
      <c r="F145" s="859"/>
      <c r="G145" s="859"/>
      <c r="H145" s="907"/>
      <c r="I145" s="907"/>
      <c r="J145" s="907"/>
      <c r="K145" s="907"/>
      <c r="L145" s="907"/>
      <c r="M145" s="859"/>
      <c r="N145" s="906"/>
      <c r="O145" s="859"/>
      <c r="P145" s="859"/>
      <c r="Q145" s="859"/>
      <c r="R145" s="859"/>
      <c r="S145" s="859"/>
      <c r="T145" s="859"/>
      <c r="U145" s="859"/>
      <c r="V145" s="859"/>
      <c r="W145" s="859"/>
      <c r="X145" s="859"/>
      <c r="Y145" s="1016"/>
      <c r="Z145" s="862"/>
      <c r="AA145" s="865"/>
      <c r="AB145" s="862"/>
      <c r="AC145" s="862"/>
      <c r="AD145" s="862"/>
    </row>
    <row customHeight="1" ht="9">
      <c r="A146" s="861"/>
      <c r="B146" s="861"/>
      <c r="C146" s="859"/>
      <c r="D146" s="859"/>
      <c r="E146" s="859"/>
      <c r="F146" s="859"/>
      <c r="G146" s="859"/>
      <c r="H146" s="907"/>
      <c r="I146" s="907"/>
      <c r="J146" s="907"/>
      <c r="K146" s="907"/>
      <c r="L146" s="907"/>
      <c r="M146" s="859"/>
      <c r="N146" s="906"/>
      <c r="O146" s="859"/>
      <c r="P146" s="859"/>
      <c r="Q146" s="859"/>
      <c r="R146" s="859"/>
      <c r="S146" s="859"/>
      <c r="T146" s="859"/>
      <c r="U146" s="859"/>
      <c r="V146" s="859"/>
      <c r="W146" s="859"/>
      <c r="X146" s="859"/>
      <c r="Y146" s="1016"/>
      <c r="Z146" s="862"/>
      <c r="AA146" s="865"/>
      <c r="AB146" s="862"/>
      <c r="AC146" s="862"/>
      <c r="AD146" s="862"/>
    </row>
    <row customHeight="1" ht="9">
      <c r="A147" s="861"/>
      <c r="B147" s="861"/>
      <c r="C147" s="861"/>
      <c r="D147" s="861"/>
      <c r="E147" s="861"/>
      <c r="F147" s="861"/>
      <c r="G147" s="861"/>
      <c r="H147" s="861"/>
      <c r="I147" s="861"/>
      <c r="J147" s="861"/>
      <c r="K147" s="861"/>
      <c r="L147" s="861"/>
      <c r="M147" s="861"/>
      <c r="N147" s="861"/>
      <c r="O147" s="861"/>
      <c r="P147" s="861"/>
      <c r="Q147" s="861"/>
      <c r="R147" s="861"/>
      <c r="S147" s="861"/>
      <c r="T147" s="861"/>
      <c r="U147" s="861"/>
      <c r="V147" s="861"/>
      <c r="W147" s="861"/>
      <c r="X147" s="861"/>
      <c r="Y147" s="861"/>
      <c r="Z147" s="861"/>
      <c r="AA147" s="861"/>
      <c r="AB147" s="861"/>
      <c r="AC147" s="861"/>
      <c r="AD147" s="861"/>
    </row>
    <row customHeight="1" ht="90">
      <c r="A148" s="861" t="s">
        <v>1809</v>
      </c>
      <c r="B148" s="861"/>
      <c r="C148" s="859" t="s">
        <v>2370</v>
      </c>
      <c r="D148" s="859" t="s">
        <v>1714</v>
      </c>
      <c r="E148" s="859" t="s">
        <v>1811</v>
      </c>
      <c r="F148" s="859" t="s">
        <v>2371</v>
      </c>
      <c r="G148" s="859"/>
      <c r="H148" s="859"/>
      <c r="I148" s="979"/>
      <c r="J148" s="979"/>
      <c r="K148" s="979"/>
      <c r="L148" s="979"/>
      <c r="M148" s="90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4"/>
      <c r="O148" s="859"/>
      <c r="P148" s="860"/>
      <c r="Q148" s="860"/>
      <c r="R148" s="860"/>
      <c r="S148" s="859"/>
      <c r="T148" s="859" t="s">
        <v>2372</v>
      </c>
      <c r="U148" s="8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60"/>
      <c r="W148" s="860"/>
      <c r="X148" s="859" t="s">
        <v>2373</v>
      </c>
      <c r="Y148" s="1016"/>
      <c r="Z148" s="862"/>
      <c r="AA148" s="865"/>
      <c r="AB148" s="862"/>
      <c r="AC148" s="862"/>
      <c r="AD148" s="862"/>
    </row>
    <row customHeight="1" ht="9">
      <c r="A149" s="861"/>
      <c r="B149" s="861"/>
      <c r="C149" s="861"/>
      <c r="D149" s="861"/>
      <c r="E149" s="861"/>
      <c r="F149" s="861"/>
      <c r="G149" s="861"/>
      <c r="H149" s="861"/>
      <c r="I149" s="861"/>
      <c r="J149" s="861"/>
      <c r="K149" s="861"/>
      <c r="L149" s="861"/>
      <c r="M149" s="861"/>
      <c r="N149" s="861"/>
      <c r="O149" s="861"/>
      <c r="P149" s="861"/>
      <c r="Q149" s="861"/>
      <c r="R149" s="861"/>
      <c r="S149" s="861"/>
      <c r="T149" s="861"/>
      <c r="U149" s="861"/>
      <c r="V149" s="861"/>
      <c r="W149" s="861"/>
      <c r="X149" s="861"/>
      <c r="Y149" s="861"/>
      <c r="Z149" s="861"/>
      <c r="AA149" s="861"/>
      <c r="AB149" s="861"/>
      <c r="AC149" s="861"/>
      <c r="AD149" s="861"/>
    </row>
    <row customHeight="1" ht="9">
      <c r="A150" s="861" t="s">
        <v>1813</v>
      </c>
      <c r="B150" s="861"/>
      <c r="C150" s="859"/>
      <c r="D150" s="859"/>
      <c r="E150" s="859"/>
      <c r="F150" s="859"/>
      <c r="G150" s="859"/>
      <c r="H150" s="859"/>
      <c r="I150" s="859"/>
      <c r="J150" s="859"/>
      <c r="K150" s="859"/>
      <c r="L150" s="859"/>
      <c r="M150" s="859"/>
      <c r="N150" s="859"/>
      <c r="O150" s="859"/>
      <c r="P150" s="859"/>
      <c r="Q150" s="859"/>
      <c r="R150" s="859"/>
      <c r="S150" s="859"/>
      <c r="T150" s="859"/>
      <c r="U150" s="859"/>
      <c r="V150" s="859"/>
      <c r="W150" s="859"/>
      <c r="X150" s="859"/>
      <c r="Y150" s="1016"/>
      <c r="Z150" s="862"/>
      <c r="AA150" s="865"/>
      <c r="AB150" s="862"/>
      <c r="AC150" s="862"/>
      <c r="AD150" s="862"/>
    </row>
    <row customHeight="1" ht="9">
      <c r="A151" s="861"/>
      <c r="B151" s="861"/>
      <c r="C151" s="861"/>
      <c r="D151" s="861"/>
      <c r="E151" s="861"/>
      <c r="F151" s="861"/>
      <c r="G151" s="861"/>
      <c r="H151" s="861"/>
      <c r="I151" s="861"/>
      <c r="J151" s="861"/>
      <c r="K151" s="861"/>
      <c r="L151" s="861"/>
      <c r="M151" s="861"/>
      <c r="N151" s="861"/>
      <c r="O151" s="861"/>
      <c r="P151" s="861"/>
      <c r="Q151" s="861"/>
      <c r="R151" s="861"/>
      <c r="S151" s="861"/>
      <c r="T151" s="861"/>
      <c r="U151" s="861"/>
      <c r="V151" s="861"/>
      <c r="W151" s="861"/>
      <c r="X151" s="861"/>
      <c r="Y151" s="861"/>
      <c r="Z151" s="861"/>
      <c r="AA151" s="861"/>
      <c r="AB151" s="861"/>
      <c r="AC151" s="861"/>
      <c r="AD151" s="861"/>
    </row>
    <row customHeight="1" ht="9">
      <c r="A152" s="861" t="s">
        <v>1816</v>
      </c>
      <c r="B152" s="861"/>
      <c r="C152" s="859"/>
      <c r="D152" s="859"/>
      <c r="E152" s="859"/>
      <c r="F152" s="859"/>
      <c r="G152" s="859"/>
      <c r="H152" s="859"/>
      <c r="I152" s="859"/>
      <c r="J152" s="859"/>
      <c r="K152" s="859"/>
      <c r="L152" s="859"/>
      <c r="M152" s="859"/>
      <c r="N152" s="859"/>
      <c r="O152" s="859"/>
      <c r="P152" s="859"/>
      <c r="Q152" s="859"/>
      <c r="R152" s="859"/>
      <c r="S152" s="859"/>
      <c r="T152" s="859"/>
      <c r="U152" s="859"/>
      <c r="V152" s="859"/>
      <c r="W152" s="859"/>
      <c r="X152" s="859"/>
      <c r="Y152" s="1016"/>
      <c r="Z152" s="862"/>
      <c r="AA152" s="865"/>
      <c r="AB152" s="862"/>
      <c r="AC152" s="862"/>
      <c r="AD152" s="862"/>
    </row>
    <row customHeight="1" ht="9">
      <c r="A153" s="861"/>
      <c r="B153" s="861"/>
      <c r="C153" s="861"/>
      <c r="D153" s="861"/>
      <c r="E153" s="861"/>
      <c r="F153" s="861"/>
      <c r="G153" s="861"/>
      <c r="H153" s="861"/>
      <c r="I153" s="861"/>
      <c r="J153" s="861"/>
      <c r="K153" s="861"/>
      <c r="L153" s="861"/>
      <c r="M153" s="861"/>
      <c r="N153" s="861"/>
      <c r="O153" s="861"/>
      <c r="P153" s="861"/>
      <c r="Q153" s="861"/>
      <c r="R153" s="861"/>
      <c r="S153" s="861"/>
      <c r="T153" s="861"/>
      <c r="U153" s="861"/>
      <c r="V153" s="861"/>
      <c r="W153" s="861"/>
      <c r="X153" s="861"/>
      <c r="Y153" s="861"/>
      <c r="Z153" s="861"/>
      <c r="AA153" s="861"/>
      <c r="AB153" s="861"/>
      <c r="AC153" s="861"/>
      <c r="AD153" s="861"/>
    </row>
    <row customHeight="1" ht="9">
      <c r="A154" s="861" t="s">
        <v>1821</v>
      </c>
      <c r="B154" s="861"/>
      <c r="C154" s="859"/>
      <c r="D154" s="859"/>
      <c r="E154" s="859"/>
      <c r="F154" s="859"/>
      <c r="G154" s="859"/>
      <c r="H154" s="859"/>
      <c r="I154" s="859"/>
      <c r="J154" s="859"/>
      <c r="K154" s="859"/>
      <c r="L154" s="859"/>
      <c r="M154" s="859"/>
      <c r="N154" s="859"/>
      <c r="O154" s="859"/>
      <c r="P154" s="859"/>
      <c r="Q154" s="859"/>
      <c r="R154" s="859"/>
      <c r="S154" s="859"/>
      <c r="T154" s="859"/>
      <c r="U154" s="859"/>
      <c r="V154" s="859"/>
      <c r="W154" s="859"/>
      <c r="X154" s="859"/>
      <c r="Y154" s="1016"/>
      <c r="Z154" s="862"/>
      <c r="AA154" s="865"/>
      <c r="AB154" s="862"/>
      <c r="AC154" s="862"/>
      <c r="AD154" s="86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88BEA-A2F3-F5EB-19DF-B6DDDF2F588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82" width="10.57421875" hidden="1"/>
    <col min="2" max="2" style="1382" width="11.00390625" hidden="1" customWidth="1"/>
    <col min="3" max="3" style="1382" width="10.57421875" hidden="1"/>
    <col min="4" max="4" style="1382" width="11.8515625" hidden="1" customWidth="1"/>
    <col min="5" max="5" style="1382" width="12.28125" hidden="1" customWidth="1"/>
    <col min="6" max="8" style="1792" width="12.28125" hidden="1" customWidth="1"/>
    <col min="9" max="9" style="2413" width="3.00390625" customWidth="1"/>
    <col min="10" max="11" style="360" width="3.00390625" customWidth="1"/>
    <col min="12" max="12" style="2423" width="12.00390625" customWidth="1"/>
    <col min="13" max="13" style="1651" width="31.00390625" customWidth="1"/>
    <col min="14" max="14" style="1651" width="1.00390625" customWidth="1"/>
    <col min="15" max="18" style="1651" width="24.00390625" customWidth="1"/>
    <col min="19" max="19" style="1651" width="11.00390625" customWidth="1"/>
    <col min="20" max="20" style="1651" width="3.7109375" customWidth="1"/>
    <col min="21" max="21" style="1651" width="11.00390625" customWidth="1"/>
    <col min="22" max="22" style="1651" width="8.57421875" customWidth="1"/>
    <col min="23" max="23" style="1651" width="4.00390625" customWidth="1"/>
    <col min="24" max="24" style="1651" width="115.00390625" customWidth="1"/>
    <col min="25" max="29" style="1658" width="10.00390625" customWidth="1"/>
    <col min="30" max="30" style="1651" width="10.57421875" hidden="1"/>
  </cols>
  <sheetData>
    <row customHeight="1" ht="22.5" hidden="1">
      <c r="R1" s="343"/>
      <c r="S1" s="343"/>
      <c r="AD1" s="1171" t="s">
        <v>14</v>
      </c>
    </row>
    <row customHeight="1" ht="14.25" hidden="1">
      <c r="V2" s="343"/>
      <c r="AD2" s="1171">
        <v>0</v>
      </c>
    </row>
    <row customHeight="1" ht="14.25" hidden="1">
      <c r="AD3" s="1171">
        <v>0</v>
      </c>
    </row>
    <row customHeight="1" ht="14.699999999999998">
      <c r="J4" s="392"/>
      <c r="K4" s="392"/>
      <c r="L4" s="1291"/>
      <c r="M4" s="379"/>
      <c r="N4" s="379"/>
      <c r="O4" s="525"/>
      <c r="P4" s="525"/>
      <c r="Q4" s="525"/>
      <c r="R4" s="525"/>
      <c r="S4" s="525"/>
      <c r="T4" s="525"/>
      <c r="U4" s="525"/>
      <c r="V4" s="525"/>
      <c r="AD4" s="1171">
        <v>14</v>
      </c>
    </row>
    <row customHeight="1" ht="67.2">
      <c r="J5" s="392"/>
      <c r="K5" s="392"/>
      <c r="L5" s="2619" t="s">
        <v>2374</v>
      </c>
      <c r="M5" s="2619"/>
      <c r="N5" s="2619"/>
      <c r="O5" s="2619"/>
      <c r="P5" s="2619"/>
      <c r="Q5" s="2619"/>
      <c r="R5" s="2619"/>
      <c r="S5" s="2619"/>
      <c r="T5" s="2619"/>
      <c r="U5" s="2619"/>
      <c r="V5" s="1259"/>
      <c r="AD5" s="1171">
        <v>64</v>
      </c>
    </row>
    <row customHeight="1" ht="14.699999999999998">
      <c r="J6" s="392"/>
      <c r="K6" s="392"/>
      <c r="L6" s="2620" t="str">
        <f>IF(org=0,"Не определено",org)</f>
        <v>КГУП "Примтеплоэнерго"</v>
      </c>
      <c r="M6" s="2620"/>
      <c r="N6" s="2620"/>
      <c r="O6" s="2620"/>
      <c r="P6" s="2620"/>
      <c r="Q6" s="2620"/>
      <c r="R6" s="2620"/>
      <c r="S6" s="2620"/>
      <c r="T6" s="2620"/>
      <c r="U6" s="2620"/>
      <c r="V6" s="1259"/>
      <c r="AD6" s="1171">
        <v>14</v>
      </c>
    </row>
    <row customHeight="1" ht="14.699999999999998">
      <c r="J7" s="392"/>
      <c r="K7" s="392"/>
      <c r="L7" s="1291"/>
      <c r="M7" s="379"/>
      <c r="N7" s="379"/>
      <c r="O7" s="338"/>
      <c r="P7" s="338"/>
      <c r="Q7" s="338"/>
      <c r="R7" s="338"/>
      <c r="S7" s="338"/>
      <c r="T7" s="338"/>
      <c r="U7" s="338"/>
      <c r="V7" s="338"/>
      <c r="W7" s="525"/>
      <c r="AD7" s="1171">
        <v>14</v>
      </c>
    </row>
    <row s="1869" customFormat="1" customHeight="1" ht="48.29999999999999">
      <c r="A8" s="1384"/>
      <c r="B8" s="1384"/>
      <c r="C8" s="1384"/>
      <c r="D8" s="1384"/>
      <c r="E8" s="1384"/>
      <c r="F8" s="1384"/>
      <c r="G8" s="1384"/>
      <c r="H8" s="1384"/>
      <c r="L8" s="1292"/>
      <c r="M8" s="311" t="s">
        <v>42</v>
      </c>
      <c r="N8" s="320"/>
      <c r="O8" s="2267" t="str">
        <f>IF(TITLE_NAME_OR_PR_CHANGE="",IF(TITLE_NAME_OR_PR="","",TITLE_NAME_OR_PR),TITLE_NAME_OR_PR_CHANGE)</f>
        <v>Агентство по тарифам Приморского края</v>
      </c>
      <c r="P8" s="2267"/>
      <c r="Q8" s="2267"/>
      <c r="R8" s="2267"/>
      <c r="S8" s="2267"/>
      <c r="T8" s="2267"/>
      <c r="U8" s="2267"/>
      <c r="V8" s="342"/>
      <c r="W8" s="342"/>
      <c r="X8" s="296"/>
      <c r="Y8" s="384"/>
      <c r="Z8" s="384"/>
      <c r="AA8" s="384"/>
      <c r="AB8" s="384"/>
      <c r="AC8" s="384"/>
      <c r="AD8" s="434">
        <v>46</v>
      </c>
    </row>
    <row s="1869" customFormat="1" customHeight="1" ht="24">
      <c r="A9" s="1384"/>
      <c r="B9" s="1384"/>
      <c r="C9" s="1384"/>
      <c r="D9" s="1384"/>
      <c r="E9" s="1384"/>
      <c r="F9" s="1384"/>
      <c r="G9" s="1384"/>
      <c r="H9" s="1384"/>
      <c r="L9" s="1292"/>
      <c r="M9" s="311" t="s">
        <v>573</v>
      </c>
      <c r="N9" s="320"/>
      <c r="O9" s="2267" t="str">
        <f>IF(TITLE_DATE_CHANGE_PERIOD="",IF(TITLE_DATE_PR="","",TITLE_DATE_PR),TITLE_DATE_CHANGE_PERIOD)</f>
        <v>45917</v>
      </c>
      <c r="P9" s="2267"/>
      <c r="Q9" s="2267"/>
      <c r="R9" s="2267"/>
      <c r="S9" s="2267"/>
      <c r="T9" s="2267"/>
      <c r="U9" s="2267"/>
      <c r="V9" s="342"/>
      <c r="W9" s="342"/>
      <c r="X9" s="296"/>
      <c r="Y9" s="384"/>
      <c r="Z9" s="384"/>
      <c r="AA9" s="384"/>
      <c r="AB9" s="384"/>
      <c r="AC9" s="384"/>
      <c r="AD9" s="434">
        <v>23</v>
      </c>
    </row>
    <row s="1869" customFormat="1" customHeight="1" ht="24">
      <c r="A10" s="1384"/>
      <c r="B10" s="1384"/>
      <c r="C10" s="1384"/>
      <c r="D10" s="1384"/>
      <c r="E10" s="1384"/>
      <c r="F10" s="1384"/>
      <c r="G10" s="1384"/>
      <c r="H10" s="1384"/>
      <c r="L10" s="1266"/>
      <c r="M10" s="311" t="s">
        <v>574</v>
      </c>
      <c r="N10" s="320"/>
      <c r="O10" s="2267" t="str">
        <f>IF(TITLE_NUMBER_PR_CHANGE="",IF(TITLE_NUMBER_PR="","",TITLE_NUMBER_PR),TITLE_NUMBER_PR_CHANGE)</f>
        <v>37/2</v>
      </c>
      <c r="P10" s="2267"/>
      <c r="Q10" s="2267"/>
      <c r="R10" s="2267"/>
      <c r="S10" s="2267"/>
      <c r="T10" s="2267"/>
      <c r="U10" s="2267"/>
      <c r="V10" s="342"/>
      <c r="W10" s="342"/>
      <c r="X10" s="296"/>
      <c r="Y10" s="384"/>
      <c r="Z10" s="384"/>
      <c r="AA10" s="384"/>
      <c r="AB10" s="384"/>
      <c r="AC10" s="384"/>
      <c r="AD10" s="434">
        <v>23</v>
      </c>
    </row>
    <row s="1869" customFormat="1" customHeight="1" ht="24">
      <c r="A11" s="1384"/>
      <c r="B11" s="1384"/>
      <c r="C11" s="1384"/>
      <c r="D11" s="1384"/>
      <c r="E11" s="1384"/>
      <c r="F11" s="1384"/>
      <c r="G11" s="1384"/>
      <c r="H11" s="1384"/>
      <c r="L11" s="1266"/>
      <c r="M11" s="311" t="s">
        <v>44</v>
      </c>
      <c r="N11" s="320"/>
      <c r="O11" s="2267" t="str">
        <f>IF(TITLE_IST_PUB_CHANGE="",IF(TITLE_IST_PUB="","",TITLE_IST_PUB),TITLE_IST_PUB_CHANGE)</f>
        <v>http://pravo.gov.ru</v>
      </c>
      <c r="P11" s="2267"/>
      <c r="Q11" s="2267"/>
      <c r="R11" s="2267"/>
      <c r="S11" s="2267"/>
      <c r="T11" s="2267"/>
      <c r="U11" s="2267"/>
      <c r="V11" s="342"/>
      <c r="W11" s="342"/>
      <c r="X11" s="296"/>
      <c r="Y11" s="384"/>
      <c r="Z11" s="384"/>
      <c r="AA11" s="384"/>
      <c r="AB11" s="384"/>
      <c r="AC11" s="384"/>
      <c r="AD11" s="434">
        <v>23</v>
      </c>
    </row>
    <row s="1869" customFormat="1" customHeight="1" ht="11.25" hidden="1">
      <c r="A12" s="1384"/>
      <c r="B12" s="1384"/>
      <c r="C12" s="1384"/>
      <c r="D12" s="1384"/>
      <c r="E12" s="1384"/>
      <c r="F12" s="1384"/>
      <c r="G12" s="1384"/>
      <c r="H12" s="1384"/>
      <c r="L12" s="2621"/>
      <c r="M12" s="2621"/>
      <c r="N12" s="1303"/>
      <c r="O12" s="342"/>
      <c r="P12" s="342"/>
      <c r="Q12" s="342"/>
      <c r="R12" s="342"/>
      <c r="S12" s="342"/>
      <c r="T12" s="342"/>
      <c r="U12" s="342"/>
      <c r="V12" s="294" t="s">
        <v>577</v>
      </c>
      <c r="Y12" s="384"/>
      <c r="Z12" s="384"/>
      <c r="AA12" s="384"/>
      <c r="AB12" s="384"/>
      <c r="AC12" s="384"/>
      <c r="AD12" s="434">
        <v>0</v>
      </c>
    </row>
    <row customHeight="1" ht="14.699999999999998">
      <c r="J13" s="392"/>
      <c r="K13" s="392"/>
      <c r="L13" s="1291"/>
      <c r="M13" s="379"/>
      <c r="N13" s="1260"/>
      <c r="O13" s="2268"/>
      <c r="P13" s="2268"/>
      <c r="Q13" s="2268"/>
      <c r="R13" s="2268"/>
      <c r="S13" s="2268"/>
      <c r="T13" s="2268"/>
      <c r="U13" s="2268"/>
      <c r="V13" s="2268"/>
      <c r="AD13" s="1171">
        <v>14</v>
      </c>
    </row>
    <row customHeight="1" ht="14.699999999999998">
      <c r="J14" s="392"/>
      <c r="K14" s="392"/>
      <c r="L14" s="2143" t="s">
        <v>453</v>
      </c>
      <c r="M14" s="2143"/>
      <c r="N14" s="2143"/>
      <c r="O14" s="2143"/>
      <c r="P14" s="2143"/>
      <c r="Q14" s="2143"/>
      <c r="R14" s="2143"/>
      <c r="S14" s="2143"/>
      <c r="T14" s="2143"/>
      <c r="U14" s="2143"/>
      <c r="V14" s="2143"/>
      <c r="W14" s="2143"/>
      <c r="X14" s="2143" t="s">
        <v>454</v>
      </c>
      <c r="AD14" s="1171">
        <v>14</v>
      </c>
    </row>
    <row customHeight="1" ht="14.699999999999998">
      <c r="J15" s="392"/>
      <c r="K15" s="392"/>
      <c r="L15" s="2289" t="s">
        <v>91</v>
      </c>
      <c r="M15" s="2225" t="s">
        <v>578</v>
      </c>
      <c r="N15" s="317"/>
      <c r="O15" s="2290" t="s">
        <v>2375</v>
      </c>
      <c r="P15" s="2291"/>
      <c r="Q15" s="2291"/>
      <c r="R15" s="2291"/>
      <c r="S15" s="2291"/>
      <c r="T15" s="2291"/>
      <c r="U15" s="2292"/>
      <c r="V15" s="2293" t="s">
        <v>580</v>
      </c>
      <c r="W15" s="2296" t="s">
        <v>1304</v>
      </c>
      <c r="X15" s="2143"/>
      <c r="AD15" s="1171">
        <v>14</v>
      </c>
    </row>
    <row customHeight="1" ht="35.699999999999996">
      <c r="J16" s="392"/>
      <c r="K16" s="392"/>
      <c r="L16" s="2289"/>
      <c r="M16" s="2225"/>
      <c r="N16" s="1047"/>
      <c r="O16" s="2276" t="s">
        <v>583</v>
      </c>
      <c r="P16" s="2276" t="s">
        <v>584</v>
      </c>
      <c r="Q16" s="2278" t="s">
        <v>585</v>
      </c>
      <c r="R16" s="2279"/>
      <c r="S16" s="2278" t="s">
        <v>598</v>
      </c>
      <c r="T16" s="2285"/>
      <c r="U16" s="2279"/>
      <c r="V16" s="2294"/>
      <c r="W16" s="2297"/>
      <c r="X16" s="2143"/>
      <c r="AD16" s="1171">
        <v>34</v>
      </c>
    </row>
    <row customHeight="1" ht="35.699999999999996">
      <c r="A17" s="1386" t="s">
        <v>203</v>
      </c>
      <c r="B17" s="1386" t="s">
        <v>204</v>
      </c>
      <c r="C17" s="1386" t="s">
        <v>205</v>
      </c>
      <c r="D17" s="1386" t="s">
        <v>206</v>
      </c>
      <c r="E17" s="1386"/>
      <c r="J17" s="392"/>
      <c r="K17" s="392"/>
      <c r="L17" s="2289"/>
      <c r="M17" s="2225"/>
      <c r="N17" s="318"/>
      <c r="O17" s="2277"/>
      <c r="P17" s="2277"/>
      <c r="Q17" s="1238" t="s">
        <v>594</v>
      </c>
      <c r="R17" s="1238" t="s">
        <v>595</v>
      </c>
      <c r="S17" s="1308" t="s">
        <v>596</v>
      </c>
      <c r="T17" s="2286" t="s">
        <v>597</v>
      </c>
      <c r="U17" s="2287"/>
      <c r="V17" s="2295"/>
      <c r="W17" s="2298"/>
      <c r="X17" s="2143"/>
      <c r="AD17" s="1171">
        <v>34</v>
      </c>
    </row>
    <row s="1657" customFormat="1" customHeight="1" ht="11.549999999999999">
      <c r="A18" s="1386"/>
      <c r="B18" s="1386"/>
      <c r="C18" s="1386"/>
      <c r="D18" s="1386"/>
      <c r="E18" s="1386"/>
      <c r="F18" s="1378"/>
      <c r="G18" s="1378"/>
      <c r="H18" s="1378"/>
      <c r="I18" s="1262"/>
      <c r="J18" s="1263"/>
      <c r="K18" s="1270">
        <v>1</v>
      </c>
      <c r="L18" s="1293" t="s">
        <v>141</v>
      </c>
      <c r="M18" s="1271" t="s">
        <v>107</v>
      </c>
      <c r="N18" s="1261" t="str">
        <f>OFFSET(N18,0,-1)</f>
        <v>2</v>
      </c>
      <c r="O18" s="1305">
        <f>OFFSET(O18,0,-1)+1</f>
        <v>3</v>
      </c>
      <c r="P18" s="1305"/>
      <c r="Q18" s="1305">
        <f>OFFSET(Q18,0,-1)+1</f>
        <v>1</v>
      </c>
      <c r="R18" s="1305">
        <f>OFFSET(R18,0,-1)+1</f>
        <v>2</v>
      </c>
      <c r="S18" s="1305">
        <f>OFFSET(S18,0,-1)+1</f>
        <v>3</v>
      </c>
      <c r="T18" s="2288">
        <f>OFFSET(T18,0,-1)+1</f>
        <v>4</v>
      </c>
      <c r="U18" s="2288"/>
      <c r="V18" s="1305">
        <f>OFFSET(V18,0,-2)+1</f>
        <v>5</v>
      </c>
      <c r="W18" s="1261">
        <f>OFFSET(W18,0,-1)</f>
        <v>5</v>
      </c>
      <c r="X18" s="1305">
        <f>OFFSET(X18,0,-1)+1</f>
        <v>6</v>
      </c>
      <c r="Y18" s="527"/>
      <c r="Z18" s="527"/>
      <c r="AA18" s="527"/>
      <c r="AB18" s="527"/>
      <c r="AC18" s="527"/>
      <c r="AD18" s="512">
        <v>11</v>
      </c>
    </row>
    <row customHeight="1" ht="21">
      <c r="A19" s="1379" t="s">
        <v>231</v>
      </c>
      <c r="B19" s="1379" t="s">
        <v>232</v>
      </c>
      <c r="C19" s="1379" t="s">
        <v>233</v>
      </c>
      <c r="D19" s="1379" t="s">
        <v>234</v>
      </c>
      <c r="E19" s="1379"/>
      <c r="F19" s="1381"/>
      <c r="G19" s="1381"/>
      <c r="H19" s="1381"/>
      <c r="I19" s="377"/>
      <c r="J19" s="376"/>
      <c r="K19" s="371"/>
      <c r="L19" s="1309">
        <f>INDEX(PT_DIFFERENTIATION_NUM_NTAR,MATCH(A19,PT_DIFFERENTIATION_NTAR_ID,0))</f>
        <v>0</v>
      </c>
      <c r="M19" s="314" t="s">
        <v>192</v>
      </c>
      <c r="N19" s="316"/>
      <c r="O19" s="2622" t="str">
        <f>INDEX(PT_DIFFERENTIATION_NTAR,MATCH(A19,PT_DIFFERENTIATION_NTAR_ID,0))</f>
        <v/>
      </c>
      <c r="P19" s="2622"/>
      <c r="Q19" s="2622"/>
      <c r="R19" s="2622"/>
      <c r="S19" s="2622"/>
      <c r="T19" s="2622"/>
      <c r="U19" s="2622"/>
      <c r="V19" s="2622"/>
      <c r="W19" s="2622"/>
      <c r="X19" s="1274" t="s">
        <v>549</v>
      </c>
      <c r="Z19" s="516"/>
      <c r="AA19" s="516" t="str">
        <f>IF(M19="","",M19)</f>
        <v>Наименование тарифа</v>
      </c>
      <c r="AB19" s="516"/>
      <c r="AC19" s="516"/>
      <c r="AD19" s="1171">
        <v>20</v>
      </c>
    </row>
    <row customHeight="1" ht="21">
      <c r="A20" s="1379" t="s">
        <v>231</v>
      </c>
      <c r="B20" s="1379" t="s">
        <v>232</v>
      </c>
      <c r="C20" s="1379" t="s">
        <v>233</v>
      </c>
      <c r="D20" s="1379" t="s">
        <v>234</v>
      </c>
      <c r="E20" s="1379"/>
      <c r="F20" s="1381"/>
      <c r="G20" s="1381"/>
      <c r="H20" s="1381"/>
      <c r="I20" s="1306"/>
      <c r="J20" s="368"/>
      <c r="K20" s="369"/>
      <c r="L20" s="1309" t="str">
        <f>INDEX(PT_DIFFERENTIATION_NUM_TER,MATCH(B19,PT_DIFFERENTIATION_TER_ID,0))</f>
        <v>.</v>
      </c>
      <c r="M20" s="324" t="s">
        <v>550</v>
      </c>
      <c r="N20" s="316"/>
      <c r="O20" s="2622" t="str">
        <f>INDEX(PT_DIFFERENTIATION_TER,MATCH(B19,PT_DIFFERENTIATION_TER_ID,0))</f>
        <v/>
      </c>
      <c r="P20" s="2622"/>
      <c r="Q20" s="2622"/>
      <c r="R20" s="2622"/>
      <c r="S20" s="2622"/>
      <c r="T20" s="2622"/>
      <c r="U20" s="2622"/>
      <c r="V20" s="2622"/>
      <c r="W20" s="2622"/>
      <c r="X20" s="1274" t="s">
        <v>551</v>
      </c>
      <c r="Z20" s="516"/>
      <c r="AA20" s="516" t="str">
        <f>IF(M20="","",M20)</f>
        <v>Территория действия тарифа</v>
      </c>
      <c r="AB20" s="516"/>
      <c r="AC20" s="516"/>
      <c r="AD20" s="1171">
        <v>20</v>
      </c>
    </row>
    <row customHeight="1" ht="24">
      <c r="A21" s="1379" t="s">
        <v>231</v>
      </c>
      <c r="B21" s="1379" t="s">
        <v>232</v>
      </c>
      <c r="C21" s="1379" t="s">
        <v>233</v>
      </c>
      <c r="D21" s="1379" t="s">
        <v>234</v>
      </c>
      <c r="E21" s="1379"/>
      <c r="F21" s="1381"/>
      <c r="G21" s="1381"/>
      <c r="H21" s="1381"/>
      <c r="I21" s="370"/>
      <c r="J21" s="368"/>
      <c r="K21" s="369"/>
      <c r="L21" s="1309" t="str">
        <f>INDEX(PT_DIFFERENTIATION_NUM_CS,MATCH(C19,PT_DIFFERENTIATION_CS_ID,0))</f>
        <v>..</v>
      </c>
      <c r="M21" s="325" t="s">
        <v>552</v>
      </c>
      <c r="N21" s="316"/>
      <c r="O21" s="2622" t="str">
        <f>INDEX(PT_DIFFERENTIATION_CS,MATCH(C19,PT_DIFFERENTIATION_CS_ID,0))</f>
        <v/>
      </c>
      <c r="P21" s="2622"/>
      <c r="Q21" s="2622"/>
      <c r="R21" s="2622"/>
      <c r="S21" s="2622"/>
      <c r="T21" s="2622"/>
      <c r="U21" s="2622"/>
      <c r="V21" s="2622"/>
      <c r="W21" s="2622"/>
      <c r="X21" s="1274" t="s">
        <v>553</v>
      </c>
      <c r="Z21" s="516"/>
      <c r="AA21" s="516" t="str">
        <f>IF(M21="","",M21)</f>
        <v>Наименование системы теплоснабжения </v>
      </c>
      <c r="AB21" s="516"/>
      <c r="AC21" s="516"/>
      <c r="AD21" s="1171">
        <v>23</v>
      </c>
    </row>
    <row customHeight="1" ht="21">
      <c r="A22" s="1379" t="s">
        <v>231</v>
      </c>
      <c r="B22" s="1379" t="s">
        <v>232</v>
      </c>
      <c r="C22" s="1379" t="s">
        <v>233</v>
      </c>
      <c r="D22" s="1379" t="s">
        <v>234</v>
      </c>
      <c r="E22" s="1379"/>
      <c r="F22" s="1381"/>
      <c r="G22" s="1381"/>
      <c r="H22" s="1381"/>
      <c r="I22" s="370"/>
      <c r="J22" s="368"/>
      <c r="K22" s="369"/>
      <c r="L22" s="1309" t="str">
        <f>INDEX(PT_DIFFERENTIATION_NUM_IST_TE,MATCH(D19,PT_DIFFERENTIATION_IST_TE_ID,0))</f>
        <v>...</v>
      </c>
      <c r="M22" s="326" t="s">
        <v>554</v>
      </c>
      <c r="N22" s="316"/>
      <c r="O22" s="2622" t="str">
        <f>INDEX(PT_DIFFERENTIATION_IST_TE,MATCH(D19,PT_DIFFERENTIATION_IST_TE_ID,0))</f>
        <v/>
      </c>
      <c r="P22" s="2622"/>
      <c r="Q22" s="2622"/>
      <c r="R22" s="2622"/>
      <c r="S22" s="2622"/>
      <c r="T22" s="2622"/>
      <c r="U22" s="2622"/>
      <c r="V22" s="2622"/>
      <c r="W22" s="2622"/>
      <c r="X22" s="1274" t="s">
        <v>555</v>
      </c>
      <c r="Z22" s="516"/>
      <c r="AA22" s="516" t="str">
        <f>IF(M22="","",M22)</f>
        <v>Источник тепловой энергии  </v>
      </c>
      <c r="AB22" s="516"/>
      <c r="AC22" s="516"/>
      <c r="AD22" s="1171">
        <v>20</v>
      </c>
    </row>
    <row customHeight="1" ht="96.75">
      <c r="A23" s="1379" t="s">
        <v>231</v>
      </c>
      <c r="B23" s="1379" t="s">
        <v>232</v>
      </c>
      <c r="C23" s="1379" t="s">
        <v>233</v>
      </c>
      <c r="D23" s="1379" t="s">
        <v>234</v>
      </c>
      <c r="E23" s="1379"/>
      <c r="F23" s="2623" t="str">
        <f>L22&amp;".1"</f>
        <v>....1</v>
      </c>
      <c r="I23" s="2273">
        <v>1</v>
      </c>
      <c r="J23" s="1307"/>
      <c r="K23" s="372"/>
      <c r="L23" s="1309" t="str">
        <f>$F$23</f>
        <v>....1</v>
      </c>
      <c r="M23" s="301" t="s">
        <v>557</v>
      </c>
      <c r="N23" s="316"/>
      <c r="O23" s="2321"/>
      <c r="P23" s="2321"/>
      <c r="Q23" s="2321"/>
      <c r="R23" s="2321"/>
      <c r="S23" s="2321"/>
      <c r="T23" s="2321"/>
      <c r="U23" s="2321"/>
      <c r="V23" s="2321"/>
      <c r="W23" s="2321"/>
      <c r="X23" s="1274" t="s">
        <v>558</v>
      </c>
      <c r="Z23" s="516"/>
      <c r="AA23" s="516" t="str">
        <f>IF(M23="","",M23)</f>
        <v>Схема подключения теплопотребляющей установки к коллектору источника тепловой энергии</v>
      </c>
      <c r="AB23" s="516"/>
      <c r="AC23" s="516"/>
      <c r="AD23" s="1171">
        <v>92</v>
      </c>
    </row>
    <row customHeight="1" ht="86.25">
      <c r="A24" s="1379" t="s">
        <v>231</v>
      </c>
      <c r="B24" s="1379" t="s">
        <v>232</v>
      </c>
      <c r="C24" s="1379" t="s">
        <v>233</v>
      </c>
      <c r="D24" s="1379" t="s">
        <v>234</v>
      </c>
      <c r="E24" s="1379"/>
      <c r="F24" s="2623"/>
      <c r="G24" s="2233" t="str">
        <f>F23&amp;".1"</f>
        <v>....1.1</v>
      </c>
      <c r="I24" s="2273"/>
      <c r="J24" s="2273">
        <v>1</v>
      </c>
      <c r="K24" s="373"/>
      <c r="L24" s="1309" t="str">
        <f>$G$24</f>
        <v>....1.1</v>
      </c>
      <c r="M24" s="302" t="s">
        <v>560</v>
      </c>
      <c r="N24" s="316"/>
      <c r="O24" s="2261"/>
      <c r="P24" s="2262"/>
      <c r="Q24" s="2262"/>
      <c r="R24" s="2262"/>
      <c r="S24" s="2262"/>
      <c r="T24" s="2262"/>
      <c r="U24" s="2262"/>
      <c r="V24" s="2262"/>
      <c r="W24" s="2263"/>
      <c r="X24" s="1274" t="s">
        <v>561</v>
      </c>
      <c r="Z24" s="516"/>
      <c r="AA24" s="516" t="str">
        <f>IF(M24="","",M24)</f>
        <v>Группа потребителей</v>
      </c>
      <c r="AB24" s="516"/>
      <c r="AC24" s="516"/>
      <c r="AD24" s="1171">
        <v>82</v>
      </c>
    </row>
    <row customHeight="1" ht="11.549999999999999">
      <c r="A25" s="1379" t="s">
        <v>231</v>
      </c>
      <c r="B25" s="1379" t="s">
        <v>232</v>
      </c>
      <c r="C25" s="1379" t="s">
        <v>233</v>
      </c>
      <c r="D25" s="1379" t="s">
        <v>234</v>
      </c>
      <c r="E25" s="1379"/>
      <c r="F25" s="2623"/>
      <c r="G25" s="2233"/>
      <c r="H25" s="2233" t="str">
        <f>G24&amp;".1"</f>
        <v>....1.1.1</v>
      </c>
      <c r="I25" s="2273"/>
      <c r="J25" s="2273"/>
      <c r="K25" s="373">
        <v>1</v>
      </c>
      <c r="L25" s="1309" t="str">
        <f>$H$25</f>
        <v>....1.1.1</v>
      </c>
      <c r="M25" s="1363"/>
      <c r="N25" s="316"/>
      <c r="O25" s="767"/>
      <c r="P25" s="341"/>
      <c r="Q25" s="767"/>
      <c r="R25" s="1273"/>
      <c r="S25" s="2618"/>
      <c r="T25" s="2123" t="s">
        <v>64</v>
      </c>
      <c r="U25" s="2618"/>
      <c r="V25" s="2123" t="s">
        <v>19</v>
      </c>
      <c r="W25" s="341"/>
      <c r="X25" s="2269" t="s">
        <v>563</v>
      </c>
      <c r="Y25" s="527">
        <f>STRCHECKDATE(O26:W26)</f>
      </c>
      <c r="Z25" s="516"/>
      <c r="AA25" s="516" t="str">
        <f>IF(M25="","",M25)</f>
        <v/>
      </c>
      <c r="AB25" s="516"/>
      <c r="AC25" s="516"/>
      <c r="AD25" s="1171">
        <v>11</v>
      </c>
    </row>
    <row customHeight="1" ht="11.549999999999999">
      <c r="A26" s="1379" t="s">
        <v>231</v>
      </c>
      <c r="B26" s="1379" t="s">
        <v>232</v>
      </c>
      <c r="C26" s="1379" t="s">
        <v>233</v>
      </c>
      <c r="D26" s="1379" t="s">
        <v>234</v>
      </c>
      <c r="E26" s="1379"/>
      <c r="F26" s="2623"/>
      <c r="G26" s="2233"/>
      <c r="H26" s="2233"/>
      <c r="I26" s="2273"/>
      <c r="J26" s="2273"/>
      <c r="K26" s="373"/>
      <c r="L26" s="1310"/>
      <c r="M26" s="316"/>
      <c r="N26" s="316"/>
      <c r="O26" s="341"/>
      <c r="P26" s="341"/>
      <c r="Q26" s="341"/>
      <c r="R26" s="344" t="str">
        <f>S25&amp;"-"&amp;U25</f>
        <v>-</v>
      </c>
      <c r="S26" s="2282"/>
      <c r="T26" s="2123"/>
      <c r="U26" s="2282"/>
      <c r="V26" s="2123"/>
      <c r="W26" s="341"/>
      <c r="X26" s="2270"/>
      <c r="Z26" s="516"/>
      <c r="AA26" s="516" t="str">
        <f>IF(M26="","",M26)</f>
        <v/>
      </c>
      <c r="AB26" s="516"/>
      <c r="AC26" s="516"/>
      <c r="AD26" s="1171">
        <v>11</v>
      </c>
    </row>
    <row customHeight="1" ht="15.75">
      <c r="A27" s="1379" t="s">
        <v>231</v>
      </c>
      <c r="B27" s="1379" t="s">
        <v>232</v>
      </c>
      <c r="C27" s="1379" t="s">
        <v>233</v>
      </c>
      <c r="D27" s="1379" t="s">
        <v>234</v>
      </c>
      <c r="E27" s="1379"/>
      <c r="F27" s="2623"/>
      <c r="G27" s="2233"/>
      <c r="I27" s="2273"/>
      <c r="J27" s="2273"/>
      <c r="K27" s="372"/>
      <c r="L27" s="1294"/>
      <c r="M27" s="304" t="s">
        <v>564</v>
      </c>
      <c r="N27" s="383"/>
      <c r="O27" s="383"/>
      <c r="P27" s="383"/>
      <c r="Q27" s="383"/>
      <c r="R27" s="383"/>
      <c r="S27" s="383"/>
      <c r="T27" s="383"/>
      <c r="U27" s="383"/>
      <c r="V27" s="383"/>
      <c r="W27" s="340"/>
      <c r="X27" s="2271"/>
      <c r="Z27" s="516"/>
      <c r="AA27" s="516" t="str">
        <f>IF(M27="","",M27)</f>
        <v>Добавить вид теплоносителя (параметры теплоносителя)</v>
      </c>
      <c r="AB27" s="516"/>
      <c r="AC27" s="516"/>
      <c r="AD27" s="1171">
        <v>15</v>
      </c>
    </row>
    <row customHeight="1" ht="15.75">
      <c r="A28" s="1379" t="s">
        <v>231</v>
      </c>
      <c r="B28" s="1379" t="s">
        <v>232</v>
      </c>
      <c r="C28" s="1379" t="s">
        <v>233</v>
      </c>
      <c r="D28" s="1379" t="s">
        <v>234</v>
      </c>
      <c r="E28" s="1379"/>
      <c r="F28" s="2623"/>
      <c r="I28" s="2273"/>
      <c r="J28" s="1307"/>
      <c r="K28" s="372"/>
      <c r="L28" s="1294"/>
      <c r="M28" s="303" t="s">
        <v>565</v>
      </c>
      <c r="N28" s="383"/>
      <c r="O28" s="383"/>
      <c r="P28" s="383"/>
      <c r="Q28" s="383"/>
      <c r="R28" s="383"/>
      <c r="S28" s="383"/>
      <c r="T28" s="383"/>
      <c r="U28" s="383"/>
      <c r="V28" s="382"/>
      <c r="W28" s="383"/>
      <c r="X28" s="319"/>
      <c r="Z28" s="516"/>
      <c r="AA28" s="516" t="str">
        <f>IF(M28="","",M28)</f>
        <v>Добавить группу потребителей</v>
      </c>
      <c r="AB28" s="516"/>
      <c r="AC28" s="516"/>
      <c r="AD28" s="1171">
        <v>15</v>
      </c>
    </row>
    <row customHeight="1" ht="14.699999999999998">
      <c r="A29" s="1379" t="s">
        <v>231</v>
      </c>
      <c r="B29" s="1379" t="s">
        <v>232</v>
      </c>
      <c r="C29" s="1379" t="s">
        <v>233</v>
      </c>
      <c r="D29" s="1379" t="s">
        <v>234</v>
      </c>
      <c r="E29" s="1379"/>
      <c r="F29" s="1381"/>
      <c r="G29" s="1381"/>
      <c r="H29" s="553"/>
      <c r="I29" s="376"/>
      <c r="J29" s="391"/>
      <c r="K29" s="371"/>
      <c r="L29" s="1294"/>
      <c r="M29" s="381" t="s">
        <v>566</v>
      </c>
      <c r="N29" s="383"/>
      <c r="O29" s="383"/>
      <c r="P29" s="383"/>
      <c r="Q29" s="383"/>
      <c r="R29" s="383"/>
      <c r="S29" s="383"/>
      <c r="T29" s="383"/>
      <c r="U29" s="383"/>
      <c r="V29" s="382"/>
      <c r="W29" s="383"/>
      <c r="X29" s="319"/>
      <c r="Z29" s="516"/>
      <c r="AA29" s="516" t="str">
        <f>IF(M29="","",M29)</f>
        <v>Добавить схему подключения</v>
      </c>
      <c r="AB29" s="516"/>
      <c r="AC29" s="516"/>
      <c r="AD29" s="1171">
        <v>14</v>
      </c>
    </row>
    <row customHeight="1" ht="14.699999999999998">
      <c r="A30" s="1379" t="s">
        <v>231</v>
      </c>
      <c r="B30" s="1379" t="s">
        <v>232</v>
      </c>
      <c r="C30" s="1379" t="s">
        <v>233</v>
      </c>
      <c r="D30" s="1379"/>
      <c r="E30" s="1379" t="s">
        <v>739</v>
      </c>
      <c r="F30" s="1381"/>
      <c r="G30" s="1381"/>
      <c r="H30" s="553"/>
      <c r="I30" s="376"/>
      <c r="J30" s="391"/>
      <c r="K30" s="371"/>
      <c r="L30" s="1295"/>
      <c r="M30" s="1284"/>
      <c r="N30" s="1285"/>
      <c r="O30" s="1285"/>
      <c r="P30" s="1285"/>
      <c r="Q30" s="1285"/>
      <c r="R30" s="1285"/>
      <c r="S30" s="1285"/>
      <c r="T30" s="1285"/>
      <c r="U30" s="1285"/>
      <c r="V30" s="1286"/>
      <c r="W30" s="1285"/>
      <c r="X30" s="1287"/>
      <c r="Z30" s="516"/>
      <c r="AA30" s="516" t="str">
        <f>IF(M30="","",M30)</f>
        <v/>
      </c>
      <c r="AB30" s="516"/>
      <c r="AC30" s="516"/>
      <c r="AD30" s="1171">
        <v>14</v>
      </c>
    </row>
    <row customHeight="1" ht="14.699999999999998">
      <c r="A31" s="1379" t="s">
        <v>231</v>
      </c>
      <c r="B31" s="1379" t="s">
        <v>232</v>
      </c>
      <c r="C31" s="1379"/>
      <c r="D31" s="1379"/>
      <c r="E31" s="1379" t="s">
        <v>2376</v>
      </c>
      <c r="F31" s="1533"/>
      <c r="G31" s="1533"/>
      <c r="H31" s="553"/>
      <c r="I31" s="374"/>
      <c r="J31" s="391"/>
      <c r="K31" s="375"/>
      <c r="L31" s="1295"/>
      <c r="M31" s="1288"/>
      <c r="N31" s="1285"/>
      <c r="O31" s="1285"/>
      <c r="P31" s="1285"/>
      <c r="Q31" s="1285"/>
      <c r="R31" s="1285"/>
      <c r="S31" s="1285"/>
      <c r="T31" s="1285"/>
      <c r="U31" s="1285"/>
      <c r="V31" s="1286"/>
      <c r="W31" s="1285"/>
      <c r="X31" s="1287"/>
      <c r="Z31" s="516"/>
      <c r="AA31" s="516" t="str">
        <f>IF(M31="","",M31)</f>
        <v/>
      </c>
      <c r="AB31" s="516"/>
      <c r="AC31" s="516"/>
      <c r="AD31" s="1171">
        <v>14</v>
      </c>
    </row>
    <row customHeight="1" ht="14.699999999999998">
      <c r="A32" s="1379" t="s">
        <v>2377</v>
      </c>
      <c r="B32" s="1379"/>
      <c r="C32" s="1379"/>
      <c r="D32" s="1379"/>
      <c r="E32" s="1379" t="s">
        <v>177</v>
      </c>
      <c r="F32" s="1533"/>
      <c r="G32" s="1533"/>
      <c r="H32" s="553"/>
      <c r="I32" s="376"/>
      <c r="J32" s="391"/>
      <c r="K32" s="371"/>
      <c r="L32" s="1295"/>
      <c r="M32" s="1289"/>
      <c r="N32" s="1285"/>
      <c r="O32" s="1285"/>
      <c r="P32" s="1285"/>
      <c r="Q32" s="1285"/>
      <c r="R32" s="1285"/>
      <c r="S32" s="1285"/>
      <c r="T32" s="1285"/>
      <c r="U32" s="1285"/>
      <c r="V32" s="1286"/>
      <c r="W32" s="1285"/>
      <c r="X32" s="1287"/>
      <c r="Z32" s="516"/>
      <c r="AA32" s="516" t="str">
        <f>IF(M32="","",M32)</f>
        <v/>
      </c>
      <c r="AB32" s="516"/>
      <c r="AC32" s="516"/>
      <c r="AD32" s="1171">
        <v>14</v>
      </c>
    </row>
    <row s="1866" customFormat="1" customHeight="1" ht="11.549999999999999">
      <c r="A33" s="1379"/>
      <c r="B33" s="1379"/>
      <c r="C33" s="1379"/>
      <c r="D33" s="1379"/>
      <c r="E33" s="1379" t="s">
        <v>356</v>
      </c>
      <c r="F33" s="1534"/>
      <c r="G33" s="1535"/>
      <c r="H33" s="553"/>
      <c r="L33" s="1296"/>
      <c r="M33" s="1290"/>
      <c r="N33" s="1285"/>
      <c r="O33" s="1285"/>
      <c r="P33" s="1285"/>
      <c r="Q33" s="1285"/>
      <c r="R33" s="1285"/>
      <c r="S33" s="1285"/>
      <c r="T33" s="1285"/>
      <c r="U33" s="1285"/>
      <c r="V33" s="1286"/>
      <c r="W33" s="1285"/>
      <c r="X33" s="1287"/>
      <c r="Y33" s="395"/>
      <c r="Z33" s="395"/>
      <c r="AA33" s="395"/>
      <c r="AB33" s="395"/>
      <c r="AC33" s="395"/>
      <c r="AD33" s="389">
        <v>11</v>
      </c>
    </row>
    <row customHeight="1" ht="11.549999999999999">
      <c r="F34" s="1176"/>
      <c r="G34" s="1176"/>
      <c r="H34" s="553"/>
      <c r="I34" s="1171"/>
      <c r="J34" s="1171"/>
      <c r="K34" s="1171"/>
      <c r="Y34" s="1171"/>
      <c r="Z34" s="1171"/>
      <c r="AA34" s="1171"/>
      <c r="AB34" s="1171"/>
      <c r="AC34" s="1171"/>
      <c r="AD34" s="1171">
        <v>11</v>
      </c>
    </row>
    <row customHeight="1" ht="28.5">
      <c r="H35" s="553"/>
      <c r="L35" s="1304" t="s">
        <v>956</v>
      </c>
      <c r="M35" s="2301" t="s">
        <v>2378</v>
      </c>
      <c r="N35" s="2301"/>
      <c r="O35" s="2301"/>
      <c r="P35" s="2301"/>
      <c r="Q35" s="2301"/>
      <c r="R35" s="2301"/>
      <c r="S35" s="2301"/>
      <c r="T35" s="2301"/>
      <c r="U35" s="2301"/>
      <c r="V35" s="2301"/>
      <c r="W35" s="2301"/>
      <c r="X35" s="2301"/>
      <c r="AD35" s="1171">
        <v>27</v>
      </c>
    </row>
    <row customHeight="1" ht="109.19999999999999">
      <c r="H36" s="553"/>
      <c r="I36" s="1319"/>
      <c r="M36" s="2301" t="s">
        <v>2379</v>
      </c>
      <c r="N36" s="2301"/>
      <c r="O36" s="2301"/>
      <c r="P36" s="2301"/>
      <c r="Q36" s="2301"/>
      <c r="R36" s="2301"/>
      <c r="S36" s="2301"/>
      <c r="T36" s="2301"/>
      <c r="U36" s="2301"/>
      <c r="V36" s="2301"/>
      <c r="W36" s="2301"/>
      <c r="X36" s="2301"/>
      <c r="AD36" s="1171">
        <v>104</v>
      </c>
    </row>
    <row customHeight="1" ht="14.699999999999998">
      <c r="H37" s="553"/>
      <c r="AD37" s="1171">
        <v>14</v>
      </c>
    </row>
    <row customHeight="1" ht="14.699999999999998">
      <c r="H38" s="553"/>
      <c r="AD38" s="1171">
        <v>14</v>
      </c>
    </row>
    <row customHeight="1" ht="14.699999999999998">
      <c r="H39" s="553"/>
      <c r="AD39" s="1171">
        <v>14</v>
      </c>
    </row>
    <row customHeight="1" ht="14.699999999999998">
      <c r="H40" s="553"/>
      <c r="AD40" s="1171">
        <v>14</v>
      </c>
    </row>
    <row customHeight="1" ht="22.5" hidden="1">
      <c r="A41" s="1176" t="s">
        <v>85</v>
      </c>
      <c r="B41" s="1176">
        <v>0</v>
      </c>
      <c r="C41" s="1176">
        <v>0</v>
      </c>
      <c r="D41" s="1176">
        <v>0</v>
      </c>
      <c r="E41" s="1176">
        <v>0</v>
      </c>
      <c r="F41" s="1378">
        <v>0</v>
      </c>
      <c r="G41" s="1378">
        <v>0</v>
      </c>
      <c r="H41" s="1378">
        <v>0</v>
      </c>
      <c r="I41" s="1302">
        <v>3</v>
      </c>
      <c r="J41" s="360">
        <v>3</v>
      </c>
      <c r="K41" s="360">
        <v>3</v>
      </c>
      <c r="L41" s="597">
        <v>12</v>
      </c>
      <c r="M41" s="1171">
        <v>31</v>
      </c>
      <c r="N41" s="1171">
        <v>1</v>
      </c>
      <c r="O41" s="1171">
        <v>24</v>
      </c>
      <c r="P41" s="1171">
        <v>24</v>
      </c>
      <c r="Q41" s="1171">
        <v>24</v>
      </c>
      <c r="R41" s="1171">
        <v>24</v>
      </c>
      <c r="S41" s="1171">
        <v>11</v>
      </c>
      <c r="T41" s="1171">
        <v>3</v>
      </c>
      <c r="U41" s="1171">
        <v>11</v>
      </c>
      <c r="V41" s="1171">
        <v>8</v>
      </c>
      <c r="W41" s="1171">
        <v>4</v>
      </c>
      <c r="X41" s="1171">
        <v>115</v>
      </c>
      <c r="Y41" s="527">
        <v>10</v>
      </c>
      <c r="Z41" s="527">
        <v>10</v>
      </c>
      <c r="AA41" s="527">
        <v>10</v>
      </c>
      <c r="AB41" s="527">
        <v>10</v>
      </c>
      <c r="AC41" s="527">
        <v>10</v>
      </c>
      <c r="AD41" s="117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1D4F9-069F-AAF4-931C-AE2C4BD41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DC70D-ADB3-43E1-C44C-4F897F84ED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BAEDB-77F1-58B6-E086-BA8A147349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8C78A-F24F-BFAD-591A-384FE966EB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7F8CD-C13B-36C9-201A-50081B3E2C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BDC1D-81BC-9F2E-0463-E868BB2CB6E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702" width="15.00390625" hidden="1" customWidth="1"/>
    <col min="2" max="2" style="517" width="15.00390625" hidden="1" customWidth="1"/>
    <col min="3" max="3" style="471" width="3.00390625" customWidth="1"/>
    <col min="4" max="4" style="472" width="6.00390625" customWidth="1"/>
    <col min="5" max="5" style="471" width="52.00390625" customWidth="1"/>
    <col min="6" max="6" style="471" width="48.00390625" customWidth="1"/>
    <col min="7" max="7" style="471" width="121.00390625" customWidth="1"/>
    <col min="8" max="8" style="471" width="8.00390625" customWidth="1"/>
    <col min="9" max="9" style="471" width="64.00390625" customWidth="1"/>
    <col min="10" max="10" style="471" width="9.140625" hidden="1"/>
  </cols>
  <sheetData>
    <row customHeight="1" ht="11.25" hidden="1">
      <c r="A1" s="1702" t="s">
        <v>452</v>
      </c>
      <c r="J1" s="471" t="s">
        <v>14</v>
      </c>
    </row>
    <row customHeight="1" ht="11.25" hidden="1">
      <c r="J2" s="471">
        <v>0</v>
      </c>
    </row>
    <row s="493" customFormat="1" customHeight="1" ht="11.549999999999999">
      <c r="A3" s="1702"/>
      <c r="B3" s="517"/>
      <c r="D3" s="494"/>
      <c r="J3" s="493">
        <v>11</v>
      </c>
    </row>
    <row customHeight="1" ht="27.299999999999997">
      <c r="D4" s="217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4"/>
      <c r="F4" s="2175"/>
      <c r="I4" s="731"/>
      <c r="J4" s="471">
        <v>26</v>
      </c>
    </row>
    <row customHeight="1" ht="18">
      <c r="D5" s="2192" t="str">
        <f>IF(org=0,"Не определено",org)</f>
        <v>КГУП "Примтеплоэнерго"</v>
      </c>
      <c r="E5" s="2192"/>
      <c r="F5" s="2192"/>
      <c r="I5" s="731"/>
      <c r="J5" s="471">
        <v>17</v>
      </c>
    </row>
    <row s="493" customFormat="1" customHeight="1" ht="11.549999999999999">
      <c r="A6" s="1702"/>
      <c r="B6" s="517"/>
      <c r="D6" s="730"/>
      <c r="E6" s="730"/>
      <c r="F6" s="768"/>
      <c r="G6" s="730"/>
      <c r="J6" s="493">
        <v>11</v>
      </c>
    </row>
    <row customHeight="1" ht="11.25" hidden="1">
      <c r="A7" s="473"/>
      <c r="B7" s="518"/>
      <c r="C7" s="473"/>
      <c r="D7" s="479"/>
      <c r="E7" s="2223"/>
      <c r="F7" s="2223"/>
      <c r="J7" s="471">
        <v>0</v>
      </c>
    </row>
    <row customHeight="1" ht="11.549999999999999">
      <c r="A8" s="473"/>
      <c r="B8" s="518"/>
      <c r="C8" s="473"/>
      <c r="D8" s="2220" t="s">
        <v>453</v>
      </c>
      <c r="E8" s="2221"/>
      <c r="F8" s="2221"/>
      <c r="G8" s="2224" t="s">
        <v>454</v>
      </c>
      <c r="J8" s="471">
        <v>11</v>
      </c>
    </row>
    <row customHeight="1" ht="11.549999999999999">
      <c r="A9" s="473"/>
      <c r="B9" s="518"/>
      <c r="C9" s="473"/>
      <c r="D9" s="488" t="s">
        <v>91</v>
      </c>
      <c r="E9" s="462" t="s">
        <v>455</v>
      </c>
      <c r="F9" s="462" t="s">
        <v>456</v>
      </c>
      <c r="G9" s="2225"/>
      <c r="J9" s="471">
        <v>11</v>
      </c>
    </row>
    <row customHeight="1" ht="12" hidden="1">
      <c r="A10" s="473"/>
      <c r="B10" s="518"/>
      <c r="C10" s="473"/>
      <c r="D10" s="480"/>
      <c r="E10" s="480"/>
      <c r="F10" s="480"/>
      <c r="G10" s="480"/>
      <c r="J10" s="471">
        <v>0</v>
      </c>
    </row>
    <row customHeight="1" ht="22.5" hidden="1">
      <c r="A11" s="473"/>
      <c r="B11" s="518"/>
      <c r="C11" s="473"/>
      <c r="D11" s="1025" t="s">
        <v>141</v>
      </c>
      <c r="E11" s="1028" t="s">
        <v>457</v>
      </c>
      <c r="F11" s="1027" t="str">
        <f>IF(region_name="","",region_name)</f>
        <v>Приморский край</v>
      </c>
      <c r="G11" s="1028" t="s">
        <v>458</v>
      </c>
      <c r="H11" s="491"/>
      <c r="J11" s="471">
        <v>0</v>
      </c>
    </row>
    <row customHeight="1" ht="22.5" hidden="1">
      <c r="A12" s="473"/>
      <c r="B12" s="518"/>
      <c r="C12" s="473"/>
      <c r="D12" s="461" t="s">
        <v>141</v>
      </c>
      <c r="E12" s="46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9" t="s">
        <v>459</v>
      </c>
      <c r="G12" s="490"/>
      <c r="H12" s="491"/>
      <c r="J12" s="471">
        <v>0</v>
      </c>
    </row>
    <row customHeight="1" ht="23.25">
      <c r="A13" s="473"/>
      <c r="B13" s="518"/>
      <c r="C13" s="473"/>
      <c r="D13" s="461" t="s">
        <v>141</v>
      </c>
      <c r="E13" s="458" t="str">
        <f>"Наименование юридического лица"&amp;IF(TEMPLATE_SPHERE="TKO"," (индивидуального предпринимателя)","")</f>
        <v>Наименование юридического лица</v>
      </c>
      <c r="F13" s="457"/>
      <c r="G13" s="46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91"/>
      <c r="J13" s="471">
        <v>22</v>
      </c>
    </row>
    <row customHeight="1" ht="22.5" hidden="1">
      <c r="A14" s="473"/>
      <c r="B14" s="518"/>
      <c r="C14" s="473"/>
      <c r="D14" s="1025" t="s">
        <v>460</v>
      </c>
      <c r="E14" s="1026" t="s">
        <v>461</v>
      </c>
      <c r="F14" s="1027" t="str">
        <f>IF(inn="","",inn)</f>
        <v>2536112729</v>
      </c>
      <c r="G14" s="1028" t="s">
        <v>462</v>
      </c>
      <c r="H14" s="491"/>
      <c r="J14" s="471">
        <v>0</v>
      </c>
    </row>
    <row customHeight="1" ht="22.5" hidden="1">
      <c r="A15" s="473"/>
      <c r="B15" s="518"/>
      <c r="C15" s="473"/>
      <c r="D15" s="1025" t="s">
        <v>463</v>
      </c>
      <c r="E15" s="1026" t="s">
        <v>464</v>
      </c>
      <c r="F15" s="1027" t="str">
        <f>IF(kpp="","",kpp)</f>
        <v>253801001</v>
      </c>
      <c r="G15" s="1028" t="s">
        <v>465</v>
      </c>
      <c r="H15" s="491"/>
      <c r="J15" s="471">
        <v>0</v>
      </c>
    </row>
    <row customHeight="1" ht="39">
      <c r="A16" s="473"/>
      <c r="B16" s="518"/>
      <c r="C16" s="473"/>
      <c r="D16" s="461" t="s">
        <v>107</v>
      </c>
      <c r="E16" s="45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7"/>
      <c r="G16" s="46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1"/>
      <c r="J16" s="471">
        <v>37</v>
      </c>
    </row>
    <row customHeight="1" ht="23.25">
      <c r="A17" s="473"/>
      <c r="B17" s="518"/>
      <c r="C17" s="473"/>
      <c r="D17" s="461" t="s">
        <v>93</v>
      </c>
      <c r="E17" s="458" t="str">
        <f>"Дата присвоения ОГРН"&amp;IF(TEMPLATE_SPHERE="TKO",""," (ОГРНИП)")</f>
        <v>Дата присвоения ОГРН (ОГРНИП)</v>
      </c>
      <c r="F17" s="1748" t="s">
        <v>28</v>
      </c>
      <c r="G17" s="460" t="str">
        <f>"Дата присвоения ОГРН"&amp;IF(TEMPLATE_SPHERE="TKO",""," (ОГРНИП)")&amp;" указывается в виде «ДД.ММ.ГГГГ»."</f>
        <v>Дата присвоения ОГРН (ОГРНИП) указывается в виде «ДД.ММ.ГГГГ».</v>
      </c>
      <c r="H17" s="491"/>
      <c r="J17" s="471">
        <v>22</v>
      </c>
    </row>
    <row customHeight="1" ht="71.25">
      <c r="A18" s="473"/>
      <c r="B18" s="518"/>
      <c r="C18" s="473"/>
      <c r="D18" s="461" t="s">
        <v>94</v>
      </c>
      <c r="E18" s="45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7"/>
      <c r="G18" s="490"/>
      <c r="H18" s="491"/>
      <c r="J18" s="471">
        <v>68</v>
      </c>
    </row>
    <row customHeight="1" ht="22.5" hidden="1">
      <c r="A19" s="2218" t="s">
        <v>466</v>
      </c>
      <c r="B19" s="518"/>
      <c r="C19" s="2229"/>
      <c r="D19" s="461" t="str">
        <f>A19</f>
        <v>5.1</v>
      </c>
      <c r="E19" s="458" t="s">
        <v>467</v>
      </c>
      <c r="F19" s="459" t="s">
        <v>459</v>
      </c>
      <c r="G19" s="460" t="s">
        <v>468</v>
      </c>
      <c r="H19" s="491"/>
      <c r="I19" s="868"/>
      <c r="J19" s="471">
        <v>0</v>
      </c>
    </row>
    <row customHeight="1" ht="24" hidden="1">
      <c r="A20" s="2218"/>
      <c r="B20" s="518"/>
      <c r="C20" s="2229"/>
      <c r="D20" s="456" t="str">
        <f>D19&amp;".1"</f>
        <v>5.1.1</v>
      </c>
      <c r="E20" s="455" t="s">
        <v>469</v>
      </c>
      <c r="F20" s="897" t="s">
        <v>28</v>
      </c>
      <c r="G20" s="490"/>
      <c r="H20" s="491"/>
      <c r="I20" s="868"/>
      <c r="J20" s="471">
        <v>0</v>
      </c>
    </row>
    <row customHeight="1" ht="22.5" hidden="1">
      <c r="A21" s="2218"/>
      <c r="B21" s="518"/>
      <c r="C21" s="2229"/>
      <c r="D21" s="456" t="str">
        <f>D19&amp;".2"</f>
        <v>5.1.2</v>
      </c>
      <c r="E21" s="455" t="s">
        <v>470</v>
      </c>
      <c r="F21" s="1749" t="s">
        <v>28</v>
      </c>
      <c r="G21" s="460" t="s">
        <v>471</v>
      </c>
      <c r="H21" s="491"/>
      <c r="I21" s="868"/>
      <c r="J21" s="471">
        <v>0</v>
      </c>
    </row>
    <row customHeight="1" ht="22.5" hidden="1">
      <c r="A22" s="2218"/>
      <c r="B22" s="518"/>
      <c r="C22" s="2229"/>
      <c r="D22" s="456" t="str">
        <f>D19&amp;".3"</f>
        <v>5.1.3</v>
      </c>
      <c r="E22" s="455" t="s">
        <v>472</v>
      </c>
      <c r="F22" s="897" t="s">
        <v>28</v>
      </c>
      <c r="G22" s="490"/>
      <c r="H22" s="491"/>
      <c r="I22" s="868"/>
      <c r="J22" s="471">
        <v>0</v>
      </c>
    </row>
    <row customHeight="1" ht="22.5" hidden="1">
      <c r="A23" s="2218"/>
      <c r="B23" s="518"/>
      <c r="C23" s="2229"/>
      <c r="D23" s="456" t="str">
        <f>D19&amp;".4"</f>
        <v>5.1.4</v>
      </c>
      <c r="E23" s="455" t="s">
        <v>473</v>
      </c>
      <c r="F23" s="897" t="s">
        <v>28</v>
      </c>
      <c r="G23" s="460" t="s">
        <v>474</v>
      </c>
      <c r="H23" s="491"/>
      <c r="I23" s="868"/>
      <c r="J23" s="471">
        <v>0</v>
      </c>
    </row>
    <row customHeight="1" ht="22.5" hidden="1">
      <c r="A24" s="1994"/>
      <c r="B24" s="518"/>
      <c r="C24" s="508"/>
      <c r="D24" s="483"/>
      <c r="E24" s="1184" t="s">
        <v>475</v>
      </c>
      <c r="F24" s="484"/>
      <c r="G24" s="485"/>
      <c r="H24" s="491"/>
      <c r="I24" s="868"/>
      <c r="J24" s="471">
        <v>0</v>
      </c>
    </row>
    <row s="517" customFormat="1" customHeight="1" ht="24.75" hidden="1">
      <c r="A25" s="473"/>
      <c r="B25" s="518"/>
      <c r="C25" s="518"/>
      <c r="D25" s="1022" t="s">
        <v>93</v>
      </c>
      <c r="E25" s="1024" t="s">
        <v>476</v>
      </c>
      <c r="F25" s="1029" t="s">
        <v>459</v>
      </c>
      <c r="G25" s="1024"/>
      <c r="J25" s="517">
        <v>0</v>
      </c>
    </row>
    <row s="517" customFormat="1" customHeight="1" ht="11.25" hidden="1">
      <c r="A26" s="473"/>
      <c r="B26" s="518"/>
      <c r="C26" s="518"/>
      <c r="D26" s="1022" t="s">
        <v>477</v>
      </c>
      <c r="E26" s="1023" t="s">
        <v>478</v>
      </c>
      <c r="F26" s="1029" t="s">
        <v>459</v>
      </c>
      <c r="G26" s="1024"/>
      <c r="J26" s="517">
        <v>0</v>
      </c>
    </row>
    <row s="517" customFormat="1" customHeight="1" ht="11.25" hidden="1">
      <c r="A27" s="473"/>
      <c r="B27" s="518"/>
      <c r="C27" s="518"/>
      <c r="D27" s="1022" t="s">
        <v>479</v>
      </c>
      <c r="E27" s="1030" t="s">
        <v>480</v>
      </c>
      <c r="F27" s="1031"/>
      <c r="G27" s="102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7">
        <v>0</v>
      </c>
    </row>
    <row s="517" customFormat="1" customHeight="1" ht="11.25" hidden="1">
      <c r="A28" s="473"/>
      <c r="B28" s="518"/>
      <c r="C28" s="518"/>
      <c r="D28" s="1022" t="s">
        <v>481</v>
      </c>
      <c r="E28" s="1030" t="s">
        <v>482</v>
      </c>
      <c r="F28" s="1031"/>
      <c r="G28" s="102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7">
        <v>0</v>
      </c>
    </row>
    <row s="517" customFormat="1" customHeight="1" ht="11.25" hidden="1">
      <c r="A29" s="473"/>
      <c r="B29" s="518"/>
      <c r="C29" s="518"/>
      <c r="D29" s="1022" t="s">
        <v>483</v>
      </c>
      <c r="E29" s="1030" t="s">
        <v>484</v>
      </c>
      <c r="F29" s="1031"/>
      <c r="G29" s="102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7">
        <v>0</v>
      </c>
    </row>
    <row s="517" customFormat="1" customHeight="1" ht="11.25" hidden="1">
      <c r="A30" s="473"/>
      <c r="B30" s="518"/>
      <c r="C30" s="518"/>
      <c r="D30" s="1022" t="s">
        <v>485</v>
      </c>
      <c r="E30" s="1023" t="s">
        <v>486</v>
      </c>
      <c r="F30" s="1031"/>
      <c r="G30" s="1024"/>
      <c r="J30" s="517">
        <v>0</v>
      </c>
    </row>
    <row s="517" customFormat="1" customHeight="1" ht="11.25" hidden="1">
      <c r="A31" s="473"/>
      <c r="B31" s="518"/>
      <c r="C31" s="518"/>
      <c r="D31" s="1022" t="s">
        <v>487</v>
      </c>
      <c r="E31" s="1023" t="s">
        <v>488</v>
      </c>
      <c r="F31" s="1031"/>
      <c r="G31" s="1024"/>
      <c r="J31" s="517">
        <v>0</v>
      </c>
    </row>
    <row s="517" customFormat="1" customHeight="1" ht="11.25" hidden="1">
      <c r="A32" s="473"/>
      <c r="B32" s="518"/>
      <c r="C32" s="518"/>
      <c r="D32" s="1022" t="s">
        <v>489</v>
      </c>
      <c r="E32" s="1023" t="s">
        <v>490</v>
      </c>
      <c r="F32" s="1032"/>
      <c r="G32" s="1024"/>
      <c r="J32" s="517">
        <v>0</v>
      </c>
    </row>
    <row customHeight="1" ht="24">
      <c r="A33" s="473" t="str">
        <f>IF(TEMPLATE_SPHERE="HEAT","6","5")</f>
        <v>6</v>
      </c>
      <c r="B33" s="518"/>
      <c r="C33" s="473"/>
      <c r="D33" s="456" t="str">
        <f>A33</f>
        <v>6</v>
      </c>
      <c r="E33" s="45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9" t="s">
        <v>459</v>
      </c>
      <c r="G33" s="490"/>
      <c r="H33" s="491"/>
      <c r="J33" s="471">
        <v>23</v>
      </c>
    </row>
    <row customHeight="1" ht="23.25">
      <c r="A34" s="473"/>
      <c r="B34" s="518"/>
      <c r="C34" s="473"/>
      <c r="D34" s="456" t="str">
        <f>D33&amp;".1"</f>
        <v>6.1</v>
      </c>
      <c r="E34" s="458" t="str">
        <f>"фамилия"&amp;IF(TEMPLATE_SPHERE&lt;&gt;"HEAT"," руководителя","")</f>
        <v>фамилия</v>
      </c>
      <c r="F34" s="457"/>
      <c r="G34" s="46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91"/>
      <c r="J34" s="471">
        <v>22</v>
      </c>
    </row>
    <row customHeight="1" ht="23.25">
      <c r="A35" s="473"/>
      <c r="B35" s="518"/>
      <c r="C35" s="473"/>
      <c r="D35" s="456" t="str">
        <f>D33&amp;".2"</f>
        <v>6.2</v>
      </c>
      <c r="E35" s="458" t="str">
        <f>"имя"&amp;IF(TEMPLATE_SPHERE&lt;&gt;"HEAT"," руководителя","")</f>
        <v>имя</v>
      </c>
      <c r="F35" s="457"/>
      <c r="G35" s="46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91"/>
      <c r="J35" s="471">
        <v>22</v>
      </c>
    </row>
    <row customHeight="1" ht="24">
      <c r="A36" s="473"/>
      <c r="B36" s="518"/>
      <c r="C36" s="473"/>
      <c r="D36" s="456" t="str">
        <f>D33&amp;".3"</f>
        <v>6.3</v>
      </c>
      <c r="E36" s="458" t="str">
        <f>"отчество"&amp;IF(TEMPLATE_SPHERE&lt;&gt;"HEAT"," руководителя","")</f>
        <v>отчество</v>
      </c>
      <c r="F36" s="714"/>
      <c r="G36" s="46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91"/>
      <c r="J36" s="471">
        <v>23</v>
      </c>
    </row>
    <row customHeight="1" ht="35.699999999999996">
      <c r="A37" s="473"/>
      <c r="B37" s="518"/>
      <c r="C37" s="473"/>
      <c r="D37" s="456">
        <f>D33+1</f>
        <v>7</v>
      </c>
      <c r="E37" s="45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7"/>
      <c r="G37" s="460" t="s">
        <v>491</v>
      </c>
      <c r="H37" s="491"/>
      <c r="J37" s="471">
        <v>34</v>
      </c>
    </row>
    <row customHeight="1" ht="35.699999999999996">
      <c r="A38" s="473"/>
      <c r="B38" s="518"/>
      <c r="C38" s="473"/>
      <c r="D38" s="456">
        <f>D37+1</f>
        <v>8</v>
      </c>
      <c r="E38" s="45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7"/>
      <c r="G38" s="460" t="s">
        <v>491</v>
      </c>
      <c r="H38" s="491"/>
      <c r="J38" s="471">
        <v>34</v>
      </c>
    </row>
    <row customHeight="1" ht="23.25">
      <c r="A39" s="473"/>
      <c r="B39" s="518"/>
      <c r="C39" s="473"/>
      <c r="D39" s="456">
        <f>D38+1</f>
        <v>9</v>
      </c>
      <c r="E39" s="45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9" t="s">
        <v>459</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1"/>
      <c r="J39" s="471">
        <v>22</v>
      </c>
    </row>
    <row customHeight="1" ht="22.5" hidden="1">
      <c r="A40" s="473"/>
      <c r="B40" s="518"/>
      <c r="C40" s="473"/>
      <c r="D40" s="456" t="str">
        <f>D39&amp;".0"</f>
        <v>9.0</v>
      </c>
      <c r="E40" s="1621"/>
      <c r="F40" s="897"/>
      <c r="G40" s="2227"/>
      <c r="H40" s="491"/>
      <c r="J40" s="471">
        <v>0</v>
      </c>
    </row>
    <row customHeight="1" ht="23.25">
      <c r="A41" s="473"/>
      <c r="B41" s="473"/>
      <c r="C41" s="1704"/>
      <c r="D41" s="456" t="str">
        <f>D39&amp;".1"</f>
        <v>9.1</v>
      </c>
      <c r="E41" s="876"/>
      <c r="F41" s="877"/>
      <c r="G41" s="2227"/>
      <c r="H41" s="491"/>
      <c r="J41" s="471">
        <v>22</v>
      </c>
    </row>
    <row customHeight="1" ht="15.75">
      <c r="A42" s="473"/>
      <c r="B42" s="518"/>
      <c r="C42" s="473"/>
      <c r="D42" s="483"/>
      <c r="E42" s="431" t="s">
        <v>492</v>
      </c>
      <c r="F42" s="485"/>
      <c r="G42" s="2228"/>
      <c r="H42" s="492"/>
      <c r="J42" s="471">
        <v>15</v>
      </c>
    </row>
    <row customHeight="1" ht="27.299999999999997">
      <c r="A43" s="473"/>
      <c r="B43" s="518"/>
      <c r="C43" s="473"/>
      <c r="D43" s="456">
        <f>D39+1</f>
        <v>10</v>
      </c>
      <c r="E43" s="45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8"/>
      <c r="G43" s="46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1"/>
      <c r="J43" s="471">
        <v>26</v>
      </c>
    </row>
    <row customHeight="1" ht="23.25">
      <c r="A44" s="473"/>
      <c r="B44" s="518"/>
      <c r="C44" s="473"/>
      <c r="D44" s="456">
        <f>D43+1</f>
        <v>11</v>
      </c>
      <c r="E44" s="45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4"/>
      <c r="G44" s="490" t="s">
        <v>493</v>
      </c>
      <c r="H44" s="491"/>
      <c r="J44" s="471">
        <v>22</v>
      </c>
    </row>
    <row customHeight="1" ht="23.25">
      <c r="A45" s="473"/>
      <c r="B45" s="518"/>
      <c r="C45" s="473"/>
      <c r="D45" s="456">
        <f>D44+1</f>
        <v>12</v>
      </c>
      <c r="E45" s="454" t="s">
        <v>494</v>
      </c>
      <c r="F45" s="459" t="s">
        <v>459</v>
      </c>
      <c r="G45" s="453" t="str">
        <f>IF(TEMPLATE_SPHERE="TKO","Указывается режим работы организации.","")</f>
        <v/>
      </c>
      <c r="H45" s="491"/>
      <c r="J45" s="471">
        <v>22</v>
      </c>
    </row>
    <row customHeight="1" ht="24">
      <c r="A46" s="473"/>
      <c r="B46" s="518"/>
      <c r="C46" s="473"/>
      <c r="D46" s="456" t="str">
        <f>D45&amp;".1"</f>
        <v>12.1</v>
      </c>
      <c r="E46" s="458" t="str">
        <f>"режим работы регулируемой организации"&amp;IF(TEMPLATE_SPHERE="HEAT",", ЕТО, ТО","")</f>
        <v>режим работы регулируемой организации, ЕТО, ТО</v>
      </c>
      <c r="F46" s="1700"/>
      <c r="G46" s="453" t="s">
        <v>495</v>
      </c>
      <c r="H46" s="491"/>
      <c r="J46" s="471">
        <v>23</v>
      </c>
    </row>
    <row customHeight="1" ht="24">
      <c r="A47" s="2218"/>
      <c r="B47" s="518"/>
      <c r="C47" s="508"/>
      <c r="D47" s="456" t="str">
        <f>D45&amp;".2"</f>
        <v>12.2</v>
      </c>
      <c r="E47" s="458" t="s">
        <v>496</v>
      </c>
      <c r="F47" s="506"/>
      <c r="G47" s="453" t="s">
        <v>497</v>
      </c>
      <c r="H47" s="491"/>
      <c r="J47" s="471">
        <v>23</v>
      </c>
    </row>
    <row customHeight="1" ht="24">
      <c r="A48" s="2218"/>
      <c r="B48" s="518"/>
      <c r="C48" s="508"/>
      <c r="D48" s="456" t="str">
        <f>D45&amp;".3"</f>
        <v>12.3</v>
      </c>
      <c r="E48" s="458" t="s">
        <v>498</v>
      </c>
      <c r="F48" s="506"/>
      <c r="G48" s="453" t="s">
        <v>499</v>
      </c>
      <c r="H48" s="491"/>
      <c r="J48" s="471">
        <v>23</v>
      </c>
    </row>
    <row customHeight="1" ht="24">
      <c r="A49" s="2218"/>
      <c r="B49" s="518"/>
      <c r="C49" s="508"/>
      <c r="D49" s="456" t="str">
        <f>IF(TEMPLATE_SPHERE="TKO",D45&amp;".0",D45&amp;".4")</f>
        <v>12.4</v>
      </c>
      <c r="E49" s="452" t="s">
        <v>500</v>
      </c>
      <c r="F49" s="1701"/>
      <c r="G49" s="1778" t="s">
        <v>501</v>
      </c>
      <c r="H49" s="491"/>
      <c r="J49" s="471">
        <v>23</v>
      </c>
    </row>
    <row customHeight="1" ht="24">
      <c r="A50" s="473"/>
      <c r="B50" s="518"/>
      <c r="C50" s="473"/>
      <c r="D50" s="483"/>
      <c r="E50" s="431" t="s">
        <v>502</v>
      </c>
      <c r="F50" s="484"/>
      <c r="G50" s="1778" t="s">
        <v>503</v>
      </c>
      <c r="H50" s="492"/>
      <c r="J50" s="471">
        <v>23</v>
      </c>
    </row>
    <row customHeight="1" ht="24">
      <c r="A51" s="874"/>
      <c r="B51" s="518"/>
      <c r="C51" s="508"/>
      <c r="D51" s="456">
        <f>D45+1</f>
        <v>13</v>
      </c>
      <c r="E51" s="544" t="s">
        <v>504</v>
      </c>
      <c r="F51" s="506"/>
      <c r="G51" s="170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91"/>
      <c r="J51" s="471">
        <v>23</v>
      </c>
    </row>
    <row customHeight="1" ht="11.549999999999999">
      <c r="A52" s="473"/>
      <c r="B52" s="518"/>
      <c r="C52" s="473"/>
      <c r="J52" s="471">
        <v>11</v>
      </c>
    </row>
    <row s="476" customFormat="1" customHeight="1" ht="31.5">
      <c r="A53" s="1703"/>
      <c r="B53" s="519"/>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2"/>
      <c r="F53" s="2222"/>
      <c r="G53" s="2222"/>
      <c r="H53" s="470"/>
      <c r="I53" s="470"/>
      <c r="J53" s="476">
        <v>30</v>
      </c>
    </row>
    <row s="476" customFormat="1" customHeight="1" ht="42">
      <c r="A54" s="473"/>
      <c r="B54" s="518"/>
      <c r="C54" s="2219"/>
      <c r="D54" s="222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2"/>
      <c r="F54" s="2222"/>
      <c r="G54" s="2222"/>
      <c r="J54" s="476">
        <v>40</v>
      </c>
    </row>
    <row customHeight="1" ht="11.549999999999999">
      <c r="D55" s="474"/>
      <c r="E55" s="475"/>
      <c r="F55" s="475"/>
      <c r="G55" s="475"/>
      <c r="J55" s="471">
        <v>11</v>
      </c>
    </row>
    <row customHeight="1" ht="28.5">
      <c r="D56" s="477"/>
      <c r="E56" s="474"/>
      <c r="F56" s="486"/>
      <c r="G56" s="486"/>
      <c r="J56" s="471">
        <v>27</v>
      </c>
    </row>
    <row customHeight="1" ht="11.549999999999999">
      <c r="D57" s="474"/>
      <c r="E57" s="474"/>
      <c r="F57" s="475"/>
      <c r="G57" s="475"/>
      <c r="J57" s="471">
        <v>11</v>
      </c>
    </row>
    <row customHeight="1" ht="40.949999999999996">
      <c r="D58" s="478"/>
      <c r="E58" s="487"/>
      <c r="F58" s="487"/>
      <c r="G58" s="487"/>
      <c r="J58" s="471">
        <v>39</v>
      </c>
    </row>
    <row customHeight="1" ht="28.5">
      <c r="D59" s="478"/>
      <c r="E59" s="487"/>
      <c r="F59" s="487"/>
      <c r="G59" s="487"/>
      <c r="J59" s="471">
        <v>27</v>
      </c>
    </row>
    <row customHeight="1" ht="11.25" hidden="1">
      <c r="A60" s="1702" t="s">
        <v>85</v>
      </c>
      <c r="B60" s="517">
        <v>0</v>
      </c>
      <c r="C60" s="471">
        <v>3</v>
      </c>
      <c r="D60" s="472">
        <v>6</v>
      </c>
      <c r="E60" s="471">
        <v>52</v>
      </c>
      <c r="F60" s="471">
        <v>48</v>
      </c>
      <c r="G60" s="471">
        <v>121</v>
      </c>
      <c r="H60" s="471">
        <v>8</v>
      </c>
      <c r="I60" s="471">
        <v>64</v>
      </c>
      <c r="J60" s="47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148FE-F886-E7BC-94C4-583BEFE601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A528B-6A5A-F64A-D7D6-D12CF8C5C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EC97F-BA09-F533-496A-1121AC680C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6DB13-28D5-B926-B5C6-3971851A5B5A}" mc:Ignorable="x14ac xr xr2 xr3">
  <dimension ref="A1:E8"/>
  <sheetViews>
    <sheetView topLeftCell="A1" showGridLines="0" workbookViewId="0">
      <selection activeCell="A1" sqref="A1"/>
    </sheetView>
  </sheetViews>
  <sheetFormatPr customHeight="1" defaultRowHeight="11.25"/>
  <cols>
    <col min="1" max="1" style="80" width="10.57421875" customWidth="1"/>
    <col min="2" max="2" style="80" width="8.7109375" customWidth="1"/>
    <col min="3" max="3" style="80" width="18.140625" customWidth="1"/>
    <col min="4" max="4" style="80" width="12.57421875" customWidth="1"/>
  </cols>
  <sheetData>
    <row customHeight="1" ht="11.25">
      <c r="A1" s="2631" t="s">
        <v>2380</v>
      </c>
      <c r="B1" s="2632" t="s">
        <v>2381</v>
      </c>
      <c r="C1" s="2633" t="s">
        <v>2382</v>
      </c>
      <c r="D1" s="2634"/>
      <c r="E1" s="852" t="s">
        <v>2383</v>
      </c>
    </row>
    <row customHeight="1" ht="11.25">
      <c r="A2" s="2635"/>
      <c r="B2" s="781" t="s">
        <v>26</v>
      </c>
      <c r="C2" s="769"/>
      <c r="D2" s="780"/>
      <c r="E2" s="852"/>
    </row>
    <row customHeight="1" ht="11.25">
      <c r="A3" s="2636"/>
      <c r="B3" s="2637" t="s">
        <v>33</v>
      </c>
      <c r="C3" s="769"/>
      <c r="D3" s="780"/>
      <c r="E3" s="852"/>
    </row>
    <row customHeight="1" ht="11.25">
      <c r="A4" s="2638"/>
      <c r="B4" s="782" t="s">
        <v>1809</v>
      </c>
      <c r="C4" s="769"/>
      <c r="D4" s="780"/>
      <c r="E4" s="852"/>
    </row>
    <row customHeight="1" ht="11.25">
      <c r="A5" s="2639"/>
      <c r="B5" s="782" t="s">
        <v>1804</v>
      </c>
      <c r="C5" s="2640" t="s">
        <v>2147</v>
      </c>
      <c r="D5" s="2641" t="s">
        <v>2384</v>
      </c>
      <c r="E5" s="852"/>
    </row>
    <row s="1866" customFormat="1" customHeight="1" ht="11.25">
      <c r="A6" s="2642"/>
      <c r="B6" s="782" t="s">
        <v>1813</v>
      </c>
      <c r="C6" s="769"/>
      <c r="D6" s="780"/>
      <c r="E6" s="852"/>
    </row>
    <row customHeight="1" ht="11.25">
      <c r="A7" s="2643"/>
      <c r="B7" s="782" t="s">
        <v>1821</v>
      </c>
      <c r="C7" s="769"/>
      <c r="D7" s="780"/>
      <c r="E7" s="852"/>
    </row>
    <row customHeight="1" ht="11.25">
      <c r="A8" s="772"/>
      <c r="B8" s="782" t="s">
        <v>1816</v>
      </c>
      <c r="C8" s="769"/>
      <c r="D8" s="780"/>
      <c r="E8" s="85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6634E-BBF8-DACD-8B4D-8CC7CC6B9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7C887-BBB7-8A71-A9FD-F2E234C288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CB291-535E-AA27-F2FE-C582FE32EEC9}"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66" width="9.140625"/>
    <col min="3" max="3" style="1866" width="20.7109375" customWidth="1"/>
    <col min="4" max="4" style="1866" width="25.140625" customWidth="1"/>
    <col min="5" max="9" style="1866" width="9.140625"/>
  </cols>
  <sheetData>
    <row customHeight="1" ht="11.25">
      <c r="A1" s="84" t="s">
        <v>2385</v>
      </c>
      <c r="B1" s="84" t="s">
        <v>2386</v>
      </c>
      <c r="C1" s="84" t="s">
        <v>2387</v>
      </c>
      <c r="D1" s="84" t="s">
        <v>2388</v>
      </c>
      <c r="E1" s="84" t="s">
        <v>2389</v>
      </c>
      <c r="F1" s="84" t="s">
        <v>2390</v>
      </c>
      <c r="G1" s="84" t="s">
        <v>2391</v>
      </c>
      <c r="H1" s="84" t="s">
        <v>2392</v>
      </c>
      <c r="I1" s="84" t="s">
        <v>2393</v>
      </c>
    </row>
    <row customHeight="1" ht="11.25">
      <c r="A2" s="1866" t="s">
        <v>2394</v>
      </c>
      <c r="B2" s="1866" t="s">
        <v>16</v>
      </c>
      <c r="C2" s="1866" t="s">
        <v>28</v>
      </c>
      <c r="D2" s="1866" t="s">
        <v>2395</v>
      </c>
      <c r="E2" s="1866" t="s">
        <v>2396</v>
      </c>
      <c r="F2" s="1866" t="s">
        <v>2397</v>
      </c>
      <c r="G2" s="1866" t="s">
        <v>28</v>
      </c>
      <c r="H2" s="1866" t="s">
        <v>28</v>
      </c>
      <c r="I2" s="1866" t="s">
        <v>960</v>
      </c>
    </row>
    <row customHeight="1" ht="11.25">
      <c r="A3" s="1866" t="s">
        <v>2394</v>
      </c>
      <c r="B3" s="1866" t="s">
        <v>16</v>
      </c>
      <c r="C3" s="1866" t="s">
        <v>2398</v>
      </c>
      <c r="D3" s="1866" t="s">
        <v>2399</v>
      </c>
      <c r="E3" s="1866" t="s">
        <v>2400</v>
      </c>
      <c r="F3" s="1866" t="s">
        <v>2401</v>
      </c>
      <c r="G3" s="1866" t="s">
        <v>28</v>
      </c>
      <c r="H3" s="1866" t="s">
        <v>28</v>
      </c>
      <c r="I3" s="1866" t="s">
        <v>960</v>
      </c>
    </row>
    <row customHeight="1" ht="11.25">
      <c r="A4" s="1866" t="s">
        <v>2394</v>
      </c>
      <c r="B4" s="1866" t="s">
        <v>16</v>
      </c>
      <c r="C4" s="1866" t="s">
        <v>2402</v>
      </c>
      <c r="D4" s="1866" t="s">
        <v>2403</v>
      </c>
      <c r="E4" s="1866" t="s">
        <v>2404</v>
      </c>
      <c r="F4" s="1866" t="s">
        <v>2405</v>
      </c>
      <c r="G4" s="1866" t="s">
        <v>28</v>
      </c>
      <c r="H4" s="1866" t="s">
        <v>28</v>
      </c>
      <c r="I4" s="1866" t="s">
        <v>960</v>
      </c>
    </row>
    <row customHeight="1" ht="11.25">
      <c r="A5" s="1866" t="s">
        <v>2394</v>
      </c>
      <c r="B5" s="1866" t="s">
        <v>16</v>
      </c>
      <c r="C5" s="1866" t="s">
        <v>2406</v>
      </c>
      <c r="D5" s="1866" t="s">
        <v>2407</v>
      </c>
      <c r="E5" s="1866" t="s">
        <v>2408</v>
      </c>
      <c r="F5" s="1866" t="s">
        <v>2409</v>
      </c>
      <c r="G5" s="1866" t="s">
        <v>2410</v>
      </c>
      <c r="H5" s="1866" t="s">
        <v>28</v>
      </c>
      <c r="I5" s="1866" t="s">
        <v>960</v>
      </c>
    </row>
    <row customHeight="1" ht="11.25">
      <c r="A6" s="1866" t="s">
        <v>2394</v>
      </c>
      <c r="B6" s="1866" t="s">
        <v>16</v>
      </c>
      <c r="C6" s="1866" t="s">
        <v>2411</v>
      </c>
      <c r="D6" s="1866" t="s">
        <v>2412</v>
      </c>
      <c r="E6" s="1866" t="s">
        <v>2413</v>
      </c>
      <c r="F6" s="1866" t="s">
        <v>2414</v>
      </c>
      <c r="G6" s="1866" t="s">
        <v>28</v>
      </c>
      <c r="H6" s="1866" t="s">
        <v>28</v>
      </c>
      <c r="I6" s="1866" t="s">
        <v>960</v>
      </c>
    </row>
    <row customHeight="1" ht="11.25">
      <c r="A7" s="1866" t="s">
        <v>2394</v>
      </c>
      <c r="B7" s="1866" t="s">
        <v>16</v>
      </c>
      <c r="C7" s="1866" t="s">
        <v>2415</v>
      </c>
      <c r="D7" s="1866" t="s">
        <v>2416</v>
      </c>
      <c r="E7" s="1866" t="s">
        <v>2417</v>
      </c>
      <c r="F7" s="1866" t="s">
        <v>2418</v>
      </c>
      <c r="G7" s="1866" t="s">
        <v>28</v>
      </c>
      <c r="H7" s="1866" t="s">
        <v>28</v>
      </c>
      <c r="I7" s="1866" t="s">
        <v>960</v>
      </c>
    </row>
    <row customHeight="1" ht="11.25">
      <c r="A8" s="1866" t="s">
        <v>2394</v>
      </c>
      <c r="B8" s="1866" t="s">
        <v>16</v>
      </c>
      <c r="C8" s="1866" t="s">
        <v>2419</v>
      </c>
      <c r="D8" s="1866" t="s">
        <v>2416</v>
      </c>
      <c r="E8" s="1866" t="s">
        <v>2417</v>
      </c>
      <c r="F8" s="1866" t="s">
        <v>2420</v>
      </c>
      <c r="G8" s="1866" t="s">
        <v>2421</v>
      </c>
      <c r="H8" s="1866" t="s">
        <v>28</v>
      </c>
      <c r="I8" s="1866" t="s">
        <v>960</v>
      </c>
    </row>
    <row customHeight="1" ht="11.25">
      <c r="A9" s="1866" t="s">
        <v>2394</v>
      </c>
      <c r="B9" s="1866" t="s">
        <v>16</v>
      </c>
      <c r="C9" s="1866" t="s">
        <v>2422</v>
      </c>
      <c r="D9" s="1866" t="s">
        <v>2423</v>
      </c>
      <c r="E9" s="1866" t="s">
        <v>2417</v>
      </c>
      <c r="F9" s="1866" t="s">
        <v>2424</v>
      </c>
      <c r="G9" s="1866" t="s">
        <v>28</v>
      </c>
      <c r="H9" s="1866" t="s">
        <v>28</v>
      </c>
      <c r="I9" s="1866" t="s">
        <v>960</v>
      </c>
    </row>
    <row customHeight="1" ht="11.25">
      <c r="A10" s="1866" t="s">
        <v>2394</v>
      </c>
      <c r="B10" s="1866" t="s">
        <v>16</v>
      </c>
      <c r="C10" s="1866" t="s">
        <v>2425</v>
      </c>
      <c r="D10" s="1866" t="s">
        <v>2426</v>
      </c>
      <c r="E10" s="1866" t="s">
        <v>2417</v>
      </c>
      <c r="F10" s="1866" t="s">
        <v>2427</v>
      </c>
      <c r="G10" s="1866" t="s">
        <v>28</v>
      </c>
      <c r="H10" s="1866" t="s">
        <v>28</v>
      </c>
      <c r="I10" s="1866" t="s">
        <v>960</v>
      </c>
    </row>
    <row customHeight="1" ht="11.25">
      <c r="A11" s="1866" t="s">
        <v>2394</v>
      </c>
      <c r="B11" s="1866" t="s">
        <v>16</v>
      </c>
      <c r="C11" s="1866" t="s">
        <v>2428</v>
      </c>
      <c r="D11" s="1866" t="s">
        <v>2429</v>
      </c>
      <c r="E11" s="1866" t="s">
        <v>2430</v>
      </c>
      <c r="F11" s="1866" t="s">
        <v>2431</v>
      </c>
      <c r="G11" s="1866" t="s">
        <v>28</v>
      </c>
      <c r="H11" s="1866" t="s">
        <v>28</v>
      </c>
      <c r="I11" s="1866" t="s">
        <v>960</v>
      </c>
    </row>
    <row customHeight="1" ht="11.25">
      <c r="A12" s="1866" t="s">
        <v>2394</v>
      </c>
      <c r="B12" s="1866" t="s">
        <v>16</v>
      </c>
      <c r="C12" s="1866" t="s">
        <v>2432</v>
      </c>
      <c r="D12" s="1866" t="s">
        <v>2433</v>
      </c>
      <c r="E12" s="1866" t="s">
        <v>2434</v>
      </c>
      <c r="F12" s="1866" t="s">
        <v>2435</v>
      </c>
      <c r="G12" s="1866" t="s">
        <v>28</v>
      </c>
      <c r="H12" s="1866" t="s">
        <v>28</v>
      </c>
      <c r="I12" s="1866" t="s">
        <v>960</v>
      </c>
    </row>
    <row customHeight="1" ht="11.25">
      <c r="A13" s="1866" t="s">
        <v>2394</v>
      </c>
      <c r="B13" s="1866" t="s">
        <v>16</v>
      </c>
      <c r="C13" s="1866" t="s">
        <v>2436</v>
      </c>
      <c r="D13" s="1866" t="s">
        <v>2437</v>
      </c>
      <c r="E13" s="1866" t="s">
        <v>2438</v>
      </c>
      <c r="F13" s="1866" t="s">
        <v>2439</v>
      </c>
      <c r="G13" s="1866" t="s">
        <v>28</v>
      </c>
      <c r="H13" s="1866" t="s">
        <v>28</v>
      </c>
      <c r="I13" s="1866" t="s">
        <v>960</v>
      </c>
    </row>
    <row customHeight="1" ht="11.25">
      <c r="A14" s="1866" t="s">
        <v>2394</v>
      </c>
      <c r="B14" s="1866" t="s">
        <v>16</v>
      </c>
      <c r="C14" s="1866" t="s">
        <v>2440</v>
      </c>
      <c r="D14" s="1866" t="s">
        <v>2441</v>
      </c>
      <c r="E14" s="1866" t="s">
        <v>2442</v>
      </c>
      <c r="F14" s="1866" t="s">
        <v>2443</v>
      </c>
      <c r="G14" s="1866" t="s">
        <v>28</v>
      </c>
      <c r="H14" s="1866" t="s">
        <v>28</v>
      </c>
      <c r="I14" s="1866" t="s">
        <v>960</v>
      </c>
    </row>
    <row customHeight="1" ht="11.25">
      <c r="A15" s="1866" t="s">
        <v>2394</v>
      </c>
      <c r="B15" s="1866" t="s">
        <v>16</v>
      </c>
      <c r="C15" s="1866" t="s">
        <v>2444</v>
      </c>
      <c r="D15" s="1866" t="s">
        <v>2445</v>
      </c>
      <c r="E15" s="1866" t="s">
        <v>2446</v>
      </c>
      <c r="F15" s="1866" t="s">
        <v>2447</v>
      </c>
      <c r="G15" s="1866" t="s">
        <v>2448</v>
      </c>
      <c r="H15" s="1866" t="s">
        <v>28</v>
      </c>
      <c r="I15" s="1866" t="s">
        <v>960</v>
      </c>
    </row>
    <row customHeight="1" ht="11.25">
      <c r="A16" s="1866" t="s">
        <v>2394</v>
      </c>
      <c r="B16" s="1866" t="s">
        <v>16</v>
      </c>
      <c r="C16" s="1866" t="s">
        <v>2449</v>
      </c>
      <c r="D16" s="1866" t="s">
        <v>2450</v>
      </c>
      <c r="E16" s="1866" t="s">
        <v>2451</v>
      </c>
      <c r="F16" s="1866" t="s">
        <v>2405</v>
      </c>
      <c r="G16" s="1866" t="s">
        <v>28</v>
      </c>
      <c r="H16" s="1866" t="s">
        <v>28</v>
      </c>
      <c r="I16" s="1866" t="s">
        <v>960</v>
      </c>
    </row>
    <row customHeight="1" ht="11.25">
      <c r="A17" s="1866" t="s">
        <v>2394</v>
      </c>
      <c r="B17" s="1866" t="s">
        <v>16</v>
      </c>
      <c r="C17" s="1866" t="s">
        <v>2452</v>
      </c>
      <c r="D17" s="1866" t="s">
        <v>2453</v>
      </c>
      <c r="E17" s="1866" t="s">
        <v>2454</v>
      </c>
      <c r="F17" s="1866" t="s">
        <v>2455</v>
      </c>
      <c r="G17" s="1866" t="s">
        <v>28</v>
      </c>
      <c r="H17" s="1866" t="s">
        <v>28</v>
      </c>
      <c r="I17" s="1866" t="s">
        <v>960</v>
      </c>
    </row>
    <row customHeight="1" ht="11.25">
      <c r="A18" s="1866" t="s">
        <v>2394</v>
      </c>
      <c r="B18" s="1866" t="s">
        <v>16</v>
      </c>
      <c r="C18" s="1866" t="s">
        <v>2456</v>
      </c>
      <c r="D18" s="1866" t="s">
        <v>2457</v>
      </c>
      <c r="E18" s="1866" t="s">
        <v>2458</v>
      </c>
      <c r="F18" s="1866" t="s">
        <v>2459</v>
      </c>
      <c r="G18" s="1866" t="s">
        <v>2460</v>
      </c>
      <c r="H18" s="1866" t="s">
        <v>28</v>
      </c>
      <c r="I18" s="1866" t="s">
        <v>960</v>
      </c>
    </row>
    <row customHeight="1" ht="11.25">
      <c r="A19" s="1866" t="s">
        <v>2394</v>
      </c>
      <c r="B19" s="1866" t="s">
        <v>16</v>
      </c>
      <c r="C19" s="1866" t="s">
        <v>2461</v>
      </c>
      <c r="D19" s="1866" t="s">
        <v>2462</v>
      </c>
      <c r="E19" s="1866" t="s">
        <v>2463</v>
      </c>
      <c r="F19" s="1866" t="s">
        <v>2464</v>
      </c>
      <c r="G19" s="1866" t="s">
        <v>2465</v>
      </c>
      <c r="H19" s="1866" t="s">
        <v>28</v>
      </c>
      <c r="I19" s="1866" t="s">
        <v>960</v>
      </c>
    </row>
    <row customHeight="1" ht="11.25">
      <c r="A20" s="1866" t="s">
        <v>2394</v>
      </c>
      <c r="B20" s="1866" t="s">
        <v>16</v>
      </c>
      <c r="C20" s="1866" t="s">
        <v>2466</v>
      </c>
      <c r="D20" s="1866" t="s">
        <v>2467</v>
      </c>
      <c r="E20" s="1866" t="s">
        <v>2468</v>
      </c>
      <c r="F20" s="1866" t="s">
        <v>2431</v>
      </c>
      <c r="G20" s="1866" t="s">
        <v>28</v>
      </c>
      <c r="H20" s="1866" t="s">
        <v>28</v>
      </c>
      <c r="I20" s="1866" t="s">
        <v>960</v>
      </c>
    </row>
    <row customHeight="1" ht="11.25">
      <c r="A21" s="1866" t="s">
        <v>2394</v>
      </c>
      <c r="B21" s="1866" t="s">
        <v>16</v>
      </c>
      <c r="C21" s="1866" t="s">
        <v>2469</v>
      </c>
      <c r="D21" s="1866" t="s">
        <v>2470</v>
      </c>
      <c r="E21" s="1866" t="s">
        <v>2471</v>
      </c>
      <c r="F21" s="1866" t="s">
        <v>2472</v>
      </c>
      <c r="G21" s="1866" t="s">
        <v>28</v>
      </c>
      <c r="H21" s="1866" t="s">
        <v>28</v>
      </c>
      <c r="I21" s="1866" t="s">
        <v>960</v>
      </c>
    </row>
    <row customHeight="1" ht="11.25">
      <c r="A22" s="1866" t="s">
        <v>2394</v>
      </c>
      <c r="B22" s="1866" t="s">
        <v>16</v>
      </c>
      <c r="C22" s="1866" t="s">
        <v>2473</v>
      </c>
      <c r="D22" s="1866" t="s">
        <v>2474</v>
      </c>
      <c r="E22" s="1866" t="s">
        <v>2475</v>
      </c>
      <c r="F22" s="1866" t="s">
        <v>2443</v>
      </c>
      <c r="G22" s="1866" t="s">
        <v>2476</v>
      </c>
      <c r="H22" s="1866" t="s">
        <v>28</v>
      </c>
      <c r="I22" s="1866" t="s">
        <v>960</v>
      </c>
    </row>
    <row customHeight="1" ht="11.25">
      <c r="A23" s="1866" t="s">
        <v>2394</v>
      </c>
      <c r="B23" s="1866" t="s">
        <v>16</v>
      </c>
      <c r="C23" s="1866" t="s">
        <v>2477</v>
      </c>
      <c r="D23" s="1866" t="s">
        <v>2478</v>
      </c>
      <c r="E23" s="1866" t="s">
        <v>2479</v>
      </c>
      <c r="F23" s="1866" t="s">
        <v>2480</v>
      </c>
      <c r="G23" s="1866" t="s">
        <v>28</v>
      </c>
      <c r="H23" s="1866" t="s">
        <v>28</v>
      </c>
      <c r="I23" s="1866" t="s">
        <v>960</v>
      </c>
    </row>
    <row customHeight="1" ht="11.25">
      <c r="A24" s="1866" t="s">
        <v>2394</v>
      </c>
      <c r="B24" s="1866" t="s">
        <v>16</v>
      </c>
      <c r="C24" s="1866" t="s">
        <v>2481</v>
      </c>
      <c r="D24" s="1866" t="s">
        <v>2482</v>
      </c>
      <c r="E24" s="1866" t="s">
        <v>2483</v>
      </c>
      <c r="F24" s="1866" t="s">
        <v>2397</v>
      </c>
      <c r="G24" s="1866" t="s">
        <v>2484</v>
      </c>
      <c r="H24" s="1866" t="s">
        <v>28</v>
      </c>
      <c r="I24" s="1866" t="s">
        <v>960</v>
      </c>
    </row>
    <row customHeight="1" ht="11.25">
      <c r="A25" s="1866" t="s">
        <v>2394</v>
      </c>
      <c r="B25" s="1866" t="s">
        <v>16</v>
      </c>
      <c r="C25" s="1866" t="s">
        <v>2485</v>
      </c>
      <c r="D25" s="1866" t="s">
        <v>2486</v>
      </c>
      <c r="E25" s="1866" t="s">
        <v>2487</v>
      </c>
      <c r="F25" s="1866" t="s">
        <v>2488</v>
      </c>
      <c r="G25" s="1866" t="s">
        <v>28</v>
      </c>
      <c r="H25" s="1866" t="s">
        <v>28</v>
      </c>
      <c r="I25" s="1866" t="s">
        <v>960</v>
      </c>
    </row>
    <row customHeight="1" ht="11.25">
      <c r="A26" s="1866" t="s">
        <v>2394</v>
      </c>
      <c r="B26" s="1866" t="s">
        <v>16</v>
      </c>
      <c r="C26" s="1866" t="s">
        <v>2489</v>
      </c>
      <c r="D26" s="1866" t="s">
        <v>2490</v>
      </c>
      <c r="E26" s="1866" t="s">
        <v>2491</v>
      </c>
      <c r="F26" s="1866" t="s">
        <v>2443</v>
      </c>
      <c r="G26" s="1866" t="s">
        <v>28</v>
      </c>
      <c r="H26" s="1866" t="s">
        <v>28</v>
      </c>
      <c r="I26" s="1866" t="s">
        <v>960</v>
      </c>
    </row>
    <row customHeight="1" ht="11.25">
      <c r="A27" s="1866" t="s">
        <v>2394</v>
      </c>
      <c r="B27" s="1866" t="s">
        <v>16</v>
      </c>
      <c r="C27" s="1866" t="s">
        <v>2492</v>
      </c>
      <c r="D27" s="1866" t="s">
        <v>2493</v>
      </c>
      <c r="E27" s="1866" t="s">
        <v>2494</v>
      </c>
      <c r="F27" s="1866" t="s">
        <v>2397</v>
      </c>
      <c r="G27" s="1866" t="s">
        <v>28</v>
      </c>
      <c r="H27" s="1866" t="s">
        <v>28</v>
      </c>
      <c r="I27" s="1866" t="s">
        <v>960</v>
      </c>
    </row>
    <row customHeight="1" ht="11.25">
      <c r="A28" s="1866" t="s">
        <v>2394</v>
      </c>
      <c r="B28" s="1866" t="s">
        <v>16</v>
      </c>
      <c r="C28" s="1866" t="s">
        <v>2495</v>
      </c>
      <c r="D28" s="1866" t="s">
        <v>2496</v>
      </c>
      <c r="E28" s="1866" t="s">
        <v>2497</v>
      </c>
      <c r="F28" s="1866" t="s">
        <v>2498</v>
      </c>
      <c r="G28" s="1866" t="s">
        <v>28</v>
      </c>
      <c r="H28" s="1866" t="s">
        <v>28</v>
      </c>
      <c r="I28" s="1866" t="s">
        <v>960</v>
      </c>
    </row>
    <row customHeight="1" ht="11.25">
      <c r="A29" s="1866" t="s">
        <v>2394</v>
      </c>
      <c r="B29" s="1866" t="s">
        <v>16</v>
      </c>
      <c r="C29" s="1866" t="s">
        <v>2499</v>
      </c>
      <c r="D29" s="1866" t="s">
        <v>2500</v>
      </c>
      <c r="E29" s="1866" t="s">
        <v>2501</v>
      </c>
      <c r="F29" s="1866" t="s">
        <v>2502</v>
      </c>
      <c r="G29" s="1866" t="s">
        <v>28</v>
      </c>
      <c r="H29" s="1866" t="s">
        <v>28</v>
      </c>
      <c r="I29" s="1866" t="s">
        <v>960</v>
      </c>
    </row>
    <row customHeight="1" ht="11.25">
      <c r="A30" s="1866" t="s">
        <v>2394</v>
      </c>
      <c r="B30" s="1866" t="s">
        <v>16</v>
      </c>
      <c r="C30" s="1866" t="s">
        <v>2503</v>
      </c>
      <c r="D30" s="1866" t="s">
        <v>2504</v>
      </c>
      <c r="E30" s="1866" t="s">
        <v>2501</v>
      </c>
      <c r="F30" s="1866" t="s">
        <v>2505</v>
      </c>
      <c r="G30" s="1866" t="s">
        <v>28</v>
      </c>
      <c r="H30" s="1866" t="s">
        <v>28</v>
      </c>
      <c r="I30" s="1866" t="s">
        <v>960</v>
      </c>
    </row>
    <row customHeight="1" ht="11.25">
      <c r="A31" s="1866" t="s">
        <v>2394</v>
      </c>
      <c r="B31" s="1866" t="s">
        <v>16</v>
      </c>
      <c r="C31" s="1866" t="s">
        <v>2506</v>
      </c>
      <c r="D31" s="1866" t="s">
        <v>2507</v>
      </c>
      <c r="E31" s="1866" t="s">
        <v>2508</v>
      </c>
      <c r="F31" s="1866" t="s">
        <v>2509</v>
      </c>
      <c r="G31" s="1866" t="s">
        <v>28</v>
      </c>
      <c r="H31" s="1866" t="s">
        <v>2510</v>
      </c>
      <c r="I31" s="1866" t="s">
        <v>960</v>
      </c>
    </row>
    <row customHeight="1" ht="11.25">
      <c r="A32" s="1866" t="s">
        <v>2394</v>
      </c>
      <c r="B32" s="1866" t="s">
        <v>16</v>
      </c>
      <c r="C32" s="1866" t="s">
        <v>2511</v>
      </c>
      <c r="D32" s="1866" t="s">
        <v>2512</v>
      </c>
      <c r="E32" s="1866" t="s">
        <v>2513</v>
      </c>
      <c r="F32" s="1866" t="s">
        <v>2472</v>
      </c>
      <c r="G32" s="1866" t="s">
        <v>2514</v>
      </c>
      <c r="H32" s="1866" t="s">
        <v>28</v>
      </c>
      <c r="I32" s="1866" t="s">
        <v>960</v>
      </c>
    </row>
    <row customHeight="1" ht="11.25">
      <c r="A33" s="1866" t="s">
        <v>2394</v>
      </c>
      <c r="B33" s="1866" t="s">
        <v>16</v>
      </c>
      <c r="C33" s="1866" t="s">
        <v>2515</v>
      </c>
      <c r="D33" s="1866" t="s">
        <v>2516</v>
      </c>
      <c r="E33" s="1866" t="s">
        <v>2517</v>
      </c>
      <c r="F33" s="1866" t="s">
        <v>2455</v>
      </c>
      <c r="G33" s="1866" t="s">
        <v>28</v>
      </c>
      <c r="H33" s="1866" t="s">
        <v>28</v>
      </c>
      <c r="I33" s="1866" t="s">
        <v>960</v>
      </c>
    </row>
    <row customHeight="1" ht="11.25">
      <c r="A34" s="1866" t="s">
        <v>2394</v>
      </c>
      <c r="B34" s="1866" t="s">
        <v>16</v>
      </c>
      <c r="C34" s="1866" t="s">
        <v>2518</v>
      </c>
      <c r="D34" s="1866" t="s">
        <v>2519</v>
      </c>
      <c r="E34" s="1866" t="s">
        <v>2520</v>
      </c>
      <c r="F34" s="1866" t="s">
        <v>2443</v>
      </c>
      <c r="G34" s="1866" t="s">
        <v>28</v>
      </c>
      <c r="H34" s="1866" t="s">
        <v>2521</v>
      </c>
      <c r="I34" s="1866" t="s">
        <v>960</v>
      </c>
    </row>
    <row customHeight="1" ht="11.25">
      <c r="A35" s="1866" t="s">
        <v>2394</v>
      </c>
      <c r="B35" s="1866" t="s">
        <v>16</v>
      </c>
      <c r="C35" s="1866" t="s">
        <v>2522</v>
      </c>
      <c r="D35" s="1866" t="s">
        <v>2523</v>
      </c>
      <c r="E35" s="1866" t="s">
        <v>2524</v>
      </c>
      <c r="F35" s="1866" t="s">
        <v>728</v>
      </c>
      <c r="G35" s="1866" t="s">
        <v>2525</v>
      </c>
      <c r="H35" s="1866" t="s">
        <v>28</v>
      </c>
      <c r="I35" s="1866" t="s">
        <v>960</v>
      </c>
    </row>
    <row customHeight="1" ht="11.25">
      <c r="A36" s="1866" t="s">
        <v>2394</v>
      </c>
      <c r="B36" s="1866" t="s">
        <v>16</v>
      </c>
      <c r="C36" s="1866" t="s">
        <v>2526</v>
      </c>
      <c r="D36" s="1866" t="s">
        <v>2527</v>
      </c>
      <c r="E36" s="1866" t="s">
        <v>2528</v>
      </c>
      <c r="F36" s="1866" t="s">
        <v>2443</v>
      </c>
      <c r="G36" s="1866" t="s">
        <v>28</v>
      </c>
      <c r="H36" s="1866" t="s">
        <v>28</v>
      </c>
      <c r="I36" s="1866" t="s">
        <v>960</v>
      </c>
    </row>
    <row customHeight="1" ht="11.25">
      <c r="A37" s="1866" t="s">
        <v>2394</v>
      </c>
      <c r="B37" s="1866" t="s">
        <v>16</v>
      </c>
      <c r="C37" s="1866" t="s">
        <v>2529</v>
      </c>
      <c r="D37" s="1866" t="s">
        <v>2530</v>
      </c>
      <c r="E37" s="1866" t="s">
        <v>2531</v>
      </c>
      <c r="F37" s="1866" t="s">
        <v>2532</v>
      </c>
      <c r="G37" s="1866" t="s">
        <v>2533</v>
      </c>
      <c r="H37" s="1866" t="s">
        <v>28</v>
      </c>
      <c r="I37" s="1866" t="s">
        <v>960</v>
      </c>
    </row>
    <row customHeight="1" ht="11.25">
      <c r="A38" s="1866" t="s">
        <v>2394</v>
      </c>
      <c r="B38" s="1866" t="s">
        <v>16</v>
      </c>
      <c r="C38" s="1866" t="s">
        <v>2534</v>
      </c>
      <c r="D38" s="1866" t="s">
        <v>2535</v>
      </c>
      <c r="E38" s="1866" t="s">
        <v>2536</v>
      </c>
      <c r="F38" s="1866" t="s">
        <v>2509</v>
      </c>
      <c r="G38" s="1866" t="s">
        <v>28</v>
      </c>
      <c r="H38" s="1866" t="s">
        <v>28</v>
      </c>
      <c r="I38" s="1866" t="s">
        <v>960</v>
      </c>
    </row>
    <row customHeight="1" ht="11.25">
      <c r="A39" s="1866" t="s">
        <v>2394</v>
      </c>
      <c r="B39" s="1866" t="s">
        <v>16</v>
      </c>
      <c r="C39" s="1866" t="s">
        <v>2537</v>
      </c>
      <c r="D39" s="1866" t="s">
        <v>2538</v>
      </c>
      <c r="E39" s="1866" t="s">
        <v>2539</v>
      </c>
      <c r="F39" s="1866" t="s">
        <v>2540</v>
      </c>
      <c r="G39" s="1866" t="s">
        <v>28</v>
      </c>
      <c r="H39" s="1866" t="s">
        <v>28</v>
      </c>
      <c r="I39" s="1866" t="s">
        <v>960</v>
      </c>
    </row>
    <row customHeight="1" ht="11.25">
      <c r="A40" s="1866" t="s">
        <v>2394</v>
      </c>
      <c r="B40" s="1866" t="s">
        <v>16</v>
      </c>
      <c r="C40" s="1866" t="s">
        <v>2541</v>
      </c>
      <c r="D40" s="1866" t="s">
        <v>2542</v>
      </c>
      <c r="E40" s="1866" t="s">
        <v>2543</v>
      </c>
      <c r="F40" s="1866" t="s">
        <v>2509</v>
      </c>
      <c r="G40" s="1866" t="s">
        <v>28</v>
      </c>
      <c r="H40" s="1866" t="s">
        <v>28</v>
      </c>
      <c r="I40" s="1866" t="s">
        <v>960</v>
      </c>
    </row>
    <row customHeight="1" ht="11.25">
      <c r="A41" s="1866" t="s">
        <v>2394</v>
      </c>
      <c r="B41" s="1866" t="s">
        <v>16</v>
      </c>
      <c r="C41" s="1866" t="s">
        <v>2544</v>
      </c>
      <c r="D41" s="1866" t="s">
        <v>2545</v>
      </c>
      <c r="E41" s="1866" t="s">
        <v>2546</v>
      </c>
      <c r="F41" s="1866" t="s">
        <v>2443</v>
      </c>
      <c r="G41" s="1866" t="s">
        <v>28</v>
      </c>
      <c r="H41" s="1866" t="s">
        <v>28</v>
      </c>
      <c r="I41" s="1866" t="s">
        <v>960</v>
      </c>
    </row>
    <row customHeight="1" ht="11.25">
      <c r="A42" s="1866" t="s">
        <v>2394</v>
      </c>
      <c r="B42" s="1866" t="s">
        <v>16</v>
      </c>
      <c r="C42" s="1866" t="s">
        <v>2547</v>
      </c>
      <c r="D42" s="1866" t="s">
        <v>2548</v>
      </c>
      <c r="E42" s="1866" t="s">
        <v>2549</v>
      </c>
      <c r="F42" s="1866" t="s">
        <v>54</v>
      </c>
      <c r="G42" s="1866" t="s">
        <v>28</v>
      </c>
      <c r="H42" s="1866" t="s">
        <v>28</v>
      </c>
      <c r="I42" s="1866" t="s">
        <v>960</v>
      </c>
    </row>
    <row customHeight="1" ht="11.25">
      <c r="A43" s="1866" t="s">
        <v>2394</v>
      </c>
      <c r="B43" s="1866" t="s">
        <v>16</v>
      </c>
      <c r="C43" s="1866" t="s">
        <v>13</v>
      </c>
      <c r="D43" s="1866" t="s">
        <v>49</v>
      </c>
      <c r="E43" s="1866" t="s">
        <v>52</v>
      </c>
      <c r="F43" s="1866" t="s">
        <v>54</v>
      </c>
      <c r="G43" s="1866" t="s">
        <v>28</v>
      </c>
      <c r="H43" s="1866" t="s">
        <v>28</v>
      </c>
      <c r="I43" s="1866" t="s">
        <v>960</v>
      </c>
    </row>
    <row customHeight="1" ht="11.25">
      <c r="A44" s="1866" t="s">
        <v>2394</v>
      </c>
      <c r="B44" s="1866" t="s">
        <v>16</v>
      </c>
      <c r="C44" s="1866" t="s">
        <v>2550</v>
      </c>
      <c r="D44" s="1866" t="s">
        <v>2551</v>
      </c>
      <c r="E44" s="1866" t="s">
        <v>2552</v>
      </c>
      <c r="F44" s="1866" t="s">
        <v>2405</v>
      </c>
      <c r="G44" s="1866" t="s">
        <v>2553</v>
      </c>
      <c r="H44" s="1866" t="s">
        <v>28</v>
      </c>
      <c r="I44" s="1866" t="s">
        <v>960</v>
      </c>
    </row>
    <row customHeight="1" ht="11.25">
      <c r="A45" s="1866" t="s">
        <v>2394</v>
      </c>
      <c r="B45" s="1866" t="s">
        <v>16</v>
      </c>
      <c r="C45" s="1866" t="s">
        <v>2554</v>
      </c>
      <c r="D45" s="1866" t="s">
        <v>2555</v>
      </c>
      <c r="E45" s="1866" t="s">
        <v>2556</v>
      </c>
      <c r="F45" s="1866" t="s">
        <v>2557</v>
      </c>
      <c r="G45" s="1866" t="s">
        <v>28</v>
      </c>
      <c r="H45" s="1866" t="s">
        <v>28</v>
      </c>
      <c r="I45" s="1866" t="s">
        <v>960</v>
      </c>
    </row>
    <row customHeight="1" ht="11.25">
      <c r="A46" s="1866" t="s">
        <v>2394</v>
      </c>
      <c r="B46" s="1866" t="s">
        <v>16</v>
      </c>
      <c r="C46" s="1866" t="s">
        <v>2558</v>
      </c>
      <c r="D46" s="1866" t="s">
        <v>2559</v>
      </c>
      <c r="E46" s="1866" t="s">
        <v>2560</v>
      </c>
      <c r="F46" s="1866" t="s">
        <v>2431</v>
      </c>
      <c r="G46" s="1866" t="s">
        <v>28</v>
      </c>
      <c r="H46" s="1866" t="s">
        <v>28</v>
      </c>
      <c r="I46" s="1866" t="s">
        <v>960</v>
      </c>
    </row>
    <row customHeight="1" ht="11.25">
      <c r="A47" s="1866" t="s">
        <v>2394</v>
      </c>
      <c r="B47" s="1866" t="s">
        <v>16</v>
      </c>
      <c r="C47" s="1866" t="s">
        <v>2561</v>
      </c>
      <c r="D47" s="1866" t="s">
        <v>2562</v>
      </c>
      <c r="E47" s="1866" t="s">
        <v>2563</v>
      </c>
      <c r="F47" s="1866" t="s">
        <v>2564</v>
      </c>
      <c r="G47" s="1866" t="s">
        <v>28</v>
      </c>
      <c r="H47" s="1866" t="s">
        <v>28</v>
      </c>
      <c r="I47" s="1866" t="s">
        <v>960</v>
      </c>
    </row>
    <row customHeight="1" ht="11.25">
      <c r="A48" s="1866" t="s">
        <v>2394</v>
      </c>
      <c r="B48" s="1866" t="s">
        <v>16</v>
      </c>
      <c r="C48" s="1866" t="s">
        <v>2565</v>
      </c>
      <c r="D48" s="1866" t="s">
        <v>2566</v>
      </c>
      <c r="E48" s="1866" t="s">
        <v>2567</v>
      </c>
      <c r="F48" s="1866" t="s">
        <v>2439</v>
      </c>
      <c r="G48" s="1866" t="s">
        <v>28</v>
      </c>
      <c r="H48" s="1866" t="s">
        <v>28</v>
      </c>
      <c r="I48" s="1866" t="s">
        <v>960</v>
      </c>
    </row>
    <row customHeight="1" ht="11.25">
      <c r="A49" s="1866" t="s">
        <v>2394</v>
      </c>
      <c r="B49" s="1866" t="s">
        <v>16</v>
      </c>
      <c r="C49" s="1866" t="s">
        <v>2568</v>
      </c>
      <c r="D49" s="1866" t="s">
        <v>2569</v>
      </c>
      <c r="E49" s="1866" t="s">
        <v>2570</v>
      </c>
      <c r="F49" s="1866" t="s">
        <v>2439</v>
      </c>
      <c r="G49" s="1866" t="s">
        <v>28</v>
      </c>
      <c r="H49" s="1866" t="s">
        <v>28</v>
      </c>
      <c r="I49" s="1866" t="s">
        <v>960</v>
      </c>
    </row>
    <row customHeight="1" ht="11.25">
      <c r="A50" s="1866" t="s">
        <v>2394</v>
      </c>
      <c r="B50" s="1866" t="s">
        <v>16</v>
      </c>
      <c r="C50" s="1866" t="s">
        <v>2571</v>
      </c>
      <c r="D50" s="1866" t="s">
        <v>2572</v>
      </c>
      <c r="E50" s="1866" t="s">
        <v>2573</v>
      </c>
      <c r="F50" s="1866" t="s">
        <v>2574</v>
      </c>
      <c r="G50" s="1866" t="s">
        <v>28</v>
      </c>
      <c r="H50" s="1866" t="s">
        <v>28</v>
      </c>
      <c r="I50" s="1866" t="s">
        <v>960</v>
      </c>
    </row>
    <row customHeight="1" ht="11.25">
      <c r="A51" s="1866" t="s">
        <v>2394</v>
      </c>
      <c r="B51" s="1866" t="s">
        <v>16</v>
      </c>
      <c r="C51" s="1866" t="s">
        <v>2575</v>
      </c>
      <c r="D51" s="1866" t="s">
        <v>2576</v>
      </c>
      <c r="E51" s="1866" t="s">
        <v>2577</v>
      </c>
      <c r="F51" s="1866" t="s">
        <v>2443</v>
      </c>
      <c r="G51" s="1866" t="s">
        <v>28</v>
      </c>
      <c r="H51" s="1866" t="s">
        <v>28</v>
      </c>
      <c r="I51" s="1866" t="s">
        <v>960</v>
      </c>
    </row>
    <row customHeight="1" ht="11.25">
      <c r="A52" s="1866" t="s">
        <v>2394</v>
      </c>
      <c r="B52" s="1866" t="s">
        <v>16</v>
      </c>
      <c r="C52" s="1866" t="s">
        <v>2578</v>
      </c>
      <c r="D52" s="1866" t="s">
        <v>2579</v>
      </c>
      <c r="E52" s="1866" t="s">
        <v>2580</v>
      </c>
      <c r="F52" s="1866" t="s">
        <v>2564</v>
      </c>
      <c r="G52" s="1866" t="s">
        <v>28</v>
      </c>
      <c r="H52" s="1866" t="s">
        <v>28</v>
      </c>
      <c r="I52" s="1866" t="s">
        <v>960</v>
      </c>
    </row>
    <row customHeight="1" ht="11.25">
      <c r="A53" s="1866" t="s">
        <v>2394</v>
      </c>
      <c r="B53" s="1866" t="s">
        <v>16</v>
      </c>
      <c r="C53" s="1866" t="s">
        <v>2581</v>
      </c>
      <c r="D53" s="1866" t="s">
        <v>2582</v>
      </c>
      <c r="E53" s="1866" t="s">
        <v>2583</v>
      </c>
      <c r="F53" s="1866" t="s">
        <v>2584</v>
      </c>
      <c r="G53" s="1866" t="s">
        <v>28</v>
      </c>
      <c r="H53" s="1866" t="s">
        <v>28</v>
      </c>
      <c r="I53" s="1866" t="s">
        <v>960</v>
      </c>
    </row>
    <row customHeight="1" ht="11.25">
      <c r="A54" s="1866" t="s">
        <v>2394</v>
      </c>
      <c r="B54" s="1866" t="s">
        <v>16</v>
      </c>
      <c r="C54" s="1866" t="s">
        <v>2585</v>
      </c>
      <c r="D54" s="1866" t="s">
        <v>2586</v>
      </c>
      <c r="E54" s="1866" t="s">
        <v>2587</v>
      </c>
      <c r="F54" s="1866" t="s">
        <v>54</v>
      </c>
      <c r="G54" s="1866" t="s">
        <v>28</v>
      </c>
      <c r="H54" s="1866" t="s">
        <v>28</v>
      </c>
      <c r="I54" s="1866" t="s">
        <v>960</v>
      </c>
    </row>
    <row customHeight="1" ht="11.25">
      <c r="A55" s="1866" t="s">
        <v>2394</v>
      </c>
      <c r="B55" s="1866" t="s">
        <v>16</v>
      </c>
      <c r="C55" s="1866" t="s">
        <v>2588</v>
      </c>
      <c r="D55" s="1866" t="s">
        <v>2589</v>
      </c>
      <c r="E55" s="1866" t="s">
        <v>2590</v>
      </c>
      <c r="F55" s="1866" t="s">
        <v>2591</v>
      </c>
      <c r="G55" s="1866" t="s">
        <v>28</v>
      </c>
      <c r="H55" s="1866" t="s">
        <v>28</v>
      </c>
      <c r="I55" s="1866" t="s">
        <v>960</v>
      </c>
    </row>
    <row customHeight="1" ht="11.25">
      <c r="A56" s="1866" t="s">
        <v>2394</v>
      </c>
      <c r="B56" s="1866" t="s">
        <v>16</v>
      </c>
      <c r="C56" s="1866" t="s">
        <v>2592</v>
      </c>
      <c r="D56" s="1866" t="s">
        <v>2593</v>
      </c>
      <c r="E56" s="1866" t="s">
        <v>2594</v>
      </c>
      <c r="F56" s="1866" t="s">
        <v>2455</v>
      </c>
      <c r="G56" s="1866" t="s">
        <v>28</v>
      </c>
      <c r="H56" s="1866" t="s">
        <v>28</v>
      </c>
      <c r="I56" s="1866" t="s">
        <v>960</v>
      </c>
    </row>
    <row customHeight="1" ht="11.25">
      <c r="A57" s="1866" t="s">
        <v>2394</v>
      </c>
      <c r="B57" s="1866" t="s">
        <v>16</v>
      </c>
      <c r="C57" s="1866" t="s">
        <v>2595</v>
      </c>
      <c r="D57" s="1866" t="s">
        <v>2596</v>
      </c>
      <c r="E57" s="1866" t="s">
        <v>2597</v>
      </c>
      <c r="F57" s="1866" t="s">
        <v>2598</v>
      </c>
      <c r="G57" s="1866" t="s">
        <v>28</v>
      </c>
      <c r="H57" s="1866" t="s">
        <v>28</v>
      </c>
      <c r="I57" s="1866" t="s">
        <v>960</v>
      </c>
    </row>
    <row customHeight="1" ht="11.25">
      <c r="A58" s="1866" t="s">
        <v>2394</v>
      </c>
      <c r="B58" s="1866" t="s">
        <v>16</v>
      </c>
      <c r="C58" s="1866" t="s">
        <v>2599</v>
      </c>
      <c r="D58" s="1866" t="s">
        <v>2600</v>
      </c>
      <c r="E58" s="1866" t="s">
        <v>2417</v>
      </c>
      <c r="F58" s="1866" t="s">
        <v>2601</v>
      </c>
      <c r="G58" s="1866" t="s">
        <v>28</v>
      </c>
      <c r="H58" s="1866" t="s">
        <v>28</v>
      </c>
      <c r="I58" s="1866" t="s">
        <v>960</v>
      </c>
    </row>
    <row customHeight="1" ht="11.25">
      <c r="A59" s="1866" t="s">
        <v>2394</v>
      </c>
      <c r="B59" s="1866" t="s">
        <v>16</v>
      </c>
      <c r="C59" s="1866" t="s">
        <v>2602</v>
      </c>
      <c r="D59" s="1866" t="s">
        <v>2603</v>
      </c>
      <c r="E59" s="1866" t="s">
        <v>2604</v>
      </c>
      <c r="F59" s="1866" t="s">
        <v>2605</v>
      </c>
      <c r="G59" s="1866" t="s">
        <v>28</v>
      </c>
      <c r="H59" s="1866" t="s">
        <v>28</v>
      </c>
      <c r="I59" s="1866" t="s">
        <v>960</v>
      </c>
    </row>
    <row customHeight="1" ht="11.25">
      <c r="A60" s="1866" t="s">
        <v>2394</v>
      </c>
      <c r="B60" s="1866" t="s">
        <v>16</v>
      </c>
      <c r="C60" s="1866" t="s">
        <v>2606</v>
      </c>
      <c r="D60" s="1866" t="s">
        <v>2607</v>
      </c>
      <c r="E60" s="1866" t="s">
        <v>2608</v>
      </c>
      <c r="F60" s="1866" t="s">
        <v>2605</v>
      </c>
      <c r="G60" s="1866" t="s">
        <v>28</v>
      </c>
      <c r="H60" s="1866" t="s">
        <v>28</v>
      </c>
      <c r="I60" s="1866" t="s">
        <v>960</v>
      </c>
    </row>
    <row customHeight="1" ht="11.25">
      <c r="A61" s="1866" t="s">
        <v>2394</v>
      </c>
      <c r="B61" s="1866" t="s">
        <v>16</v>
      </c>
      <c r="C61" s="1866" t="s">
        <v>2609</v>
      </c>
      <c r="D61" s="1866" t="s">
        <v>2610</v>
      </c>
      <c r="E61" s="1866" t="s">
        <v>2501</v>
      </c>
      <c r="F61" s="1866" t="s">
        <v>2611</v>
      </c>
      <c r="G61" s="1866" t="s">
        <v>28</v>
      </c>
      <c r="H61" s="1866" t="s">
        <v>28</v>
      </c>
      <c r="I61" s="1866" t="s">
        <v>960</v>
      </c>
    </row>
    <row customHeight="1" ht="11.25">
      <c r="A62" s="1866" t="s">
        <v>2394</v>
      </c>
      <c r="B62" s="1866" t="s">
        <v>16</v>
      </c>
      <c r="C62" s="1866" t="s">
        <v>2612</v>
      </c>
      <c r="D62" s="1866" t="s">
        <v>2613</v>
      </c>
      <c r="E62" s="1866" t="s">
        <v>2614</v>
      </c>
      <c r="F62" s="1866" t="s">
        <v>2439</v>
      </c>
      <c r="G62" s="1866" t="s">
        <v>28</v>
      </c>
      <c r="H62" s="1866" t="s">
        <v>28</v>
      </c>
      <c r="I62" s="1866" t="s">
        <v>960</v>
      </c>
    </row>
    <row customHeight="1" ht="11.25">
      <c r="A63" s="1866" t="s">
        <v>2394</v>
      </c>
      <c r="B63" s="1866" t="s">
        <v>16</v>
      </c>
      <c r="C63" s="1866" t="s">
        <v>2615</v>
      </c>
      <c r="D63" s="1866" t="s">
        <v>2616</v>
      </c>
      <c r="E63" s="1866" t="s">
        <v>2617</v>
      </c>
      <c r="F63" s="1866" t="s">
        <v>2420</v>
      </c>
      <c r="G63" s="1866" t="s">
        <v>28</v>
      </c>
      <c r="H63" s="1866" t="s">
        <v>28</v>
      </c>
      <c r="I63" s="1866" t="s">
        <v>960</v>
      </c>
    </row>
    <row customHeight="1" ht="11.25">
      <c r="A64" s="1866" t="s">
        <v>2394</v>
      </c>
      <c r="B64" s="1866" t="s">
        <v>16</v>
      </c>
      <c r="C64" s="1866" t="s">
        <v>2618</v>
      </c>
      <c r="D64" s="1866" t="s">
        <v>2619</v>
      </c>
      <c r="E64" s="1866" t="s">
        <v>2620</v>
      </c>
      <c r="F64" s="1866" t="s">
        <v>2455</v>
      </c>
      <c r="G64" s="1866" t="s">
        <v>28</v>
      </c>
      <c r="H64" s="1866" t="s">
        <v>28</v>
      </c>
      <c r="I64" s="1866" t="s">
        <v>960</v>
      </c>
    </row>
    <row customHeight="1" ht="11.25">
      <c r="A65" s="1866" t="s">
        <v>2394</v>
      </c>
      <c r="B65" s="1866" t="s">
        <v>16</v>
      </c>
      <c r="C65" s="1866" t="s">
        <v>2621</v>
      </c>
      <c r="D65" s="1866" t="s">
        <v>2622</v>
      </c>
      <c r="E65" s="1866" t="s">
        <v>2623</v>
      </c>
      <c r="F65" s="1866" t="s">
        <v>2401</v>
      </c>
      <c r="G65" s="1866" t="s">
        <v>28</v>
      </c>
      <c r="H65" s="1866" t="s">
        <v>28</v>
      </c>
      <c r="I65" s="1866" t="s">
        <v>960</v>
      </c>
    </row>
    <row customHeight="1" ht="11.25">
      <c r="A66" s="1866" t="s">
        <v>2394</v>
      </c>
      <c r="B66" s="1866" t="s">
        <v>16</v>
      </c>
      <c r="C66" s="1866" t="s">
        <v>2624</v>
      </c>
      <c r="D66" s="1866" t="s">
        <v>2625</v>
      </c>
      <c r="E66" s="1866" t="s">
        <v>2626</v>
      </c>
      <c r="F66" s="1866" t="s">
        <v>54</v>
      </c>
      <c r="G66" s="1866" t="s">
        <v>28</v>
      </c>
      <c r="H66" s="1866" t="s">
        <v>28</v>
      </c>
      <c r="I66" s="1866" t="s">
        <v>960</v>
      </c>
    </row>
    <row customHeight="1" ht="11.25">
      <c r="A67" s="1866" t="s">
        <v>2394</v>
      </c>
      <c r="B67" s="1866" t="s">
        <v>16</v>
      </c>
      <c r="C67" s="1866" t="s">
        <v>2627</v>
      </c>
      <c r="D67" s="1866" t="s">
        <v>2628</v>
      </c>
      <c r="E67" s="1866" t="s">
        <v>2629</v>
      </c>
      <c r="F67" s="1866" t="s">
        <v>2630</v>
      </c>
      <c r="G67" s="1866" t="s">
        <v>2631</v>
      </c>
      <c r="H67" s="1866" t="s">
        <v>28</v>
      </c>
      <c r="I67" s="1866" t="s">
        <v>960</v>
      </c>
    </row>
    <row customHeight="1" ht="11.25">
      <c r="A68" s="1866" t="s">
        <v>2394</v>
      </c>
      <c r="B68" s="1866" t="s">
        <v>16</v>
      </c>
      <c r="C68" s="1866" t="s">
        <v>2632</v>
      </c>
      <c r="D68" s="1866" t="s">
        <v>2633</v>
      </c>
      <c r="E68" s="1866" t="s">
        <v>2634</v>
      </c>
      <c r="F68" s="1866" t="s">
        <v>2401</v>
      </c>
      <c r="G68" s="1866" t="s">
        <v>2635</v>
      </c>
      <c r="H68" s="1866" t="s">
        <v>28</v>
      </c>
      <c r="I68" s="1866" t="s">
        <v>960</v>
      </c>
    </row>
    <row customHeight="1" ht="11.25">
      <c r="A69" s="1866" t="s">
        <v>2394</v>
      </c>
      <c r="B69" s="1866" t="s">
        <v>16</v>
      </c>
      <c r="C69" s="1866" t="s">
        <v>2636</v>
      </c>
      <c r="D69" s="1866" t="s">
        <v>2637</v>
      </c>
      <c r="E69" s="1866" t="s">
        <v>2638</v>
      </c>
      <c r="F69" s="1866" t="s">
        <v>2401</v>
      </c>
      <c r="G69" s="1866" t="s">
        <v>2639</v>
      </c>
      <c r="H69" s="1866" t="s">
        <v>28</v>
      </c>
      <c r="I69" s="1866" t="s">
        <v>960</v>
      </c>
    </row>
    <row customHeight="1" ht="11.25">
      <c r="A70" s="1866" t="s">
        <v>2394</v>
      </c>
      <c r="B70" s="1866" t="s">
        <v>16</v>
      </c>
      <c r="C70" s="1866" t="s">
        <v>2640</v>
      </c>
      <c r="D70" s="1866" t="s">
        <v>2641</v>
      </c>
      <c r="E70" s="1866" t="s">
        <v>2642</v>
      </c>
      <c r="F70" s="1866" t="s">
        <v>2643</v>
      </c>
      <c r="G70" s="1866" t="s">
        <v>28</v>
      </c>
      <c r="H70" s="1866" t="s">
        <v>28</v>
      </c>
      <c r="I70" s="1866" t="s">
        <v>960</v>
      </c>
    </row>
    <row customHeight="1" ht="11.25">
      <c r="A71" s="1866" t="s">
        <v>2394</v>
      </c>
      <c r="B71" s="1866" t="s">
        <v>16</v>
      </c>
      <c r="C71" s="1866" t="s">
        <v>2644</v>
      </c>
      <c r="D71" s="1866" t="s">
        <v>2645</v>
      </c>
      <c r="E71" s="1866" t="s">
        <v>2646</v>
      </c>
      <c r="F71" s="1866" t="s">
        <v>2630</v>
      </c>
      <c r="G71" s="1866" t="s">
        <v>28</v>
      </c>
      <c r="H71" s="1866" t="s">
        <v>28</v>
      </c>
      <c r="I71" s="1866" t="s">
        <v>960</v>
      </c>
    </row>
    <row customHeight="1" ht="11.25">
      <c r="A72" s="1866" t="s">
        <v>2394</v>
      </c>
      <c r="B72" s="1866" t="s">
        <v>16</v>
      </c>
      <c r="C72" s="1866" t="s">
        <v>2647</v>
      </c>
      <c r="D72" s="1866" t="s">
        <v>2648</v>
      </c>
      <c r="E72" s="1866" t="s">
        <v>2649</v>
      </c>
      <c r="F72" s="1866" t="s">
        <v>2455</v>
      </c>
      <c r="G72" s="1866" t="s">
        <v>28</v>
      </c>
      <c r="H72" s="1866" t="s">
        <v>28</v>
      </c>
      <c r="I72" s="1866" t="s">
        <v>960</v>
      </c>
    </row>
    <row customHeight="1" ht="11.25">
      <c r="A73" s="1866" t="s">
        <v>2394</v>
      </c>
      <c r="B73" s="1866" t="s">
        <v>16</v>
      </c>
      <c r="C73" s="1866" t="s">
        <v>2650</v>
      </c>
      <c r="D73" s="1866" t="s">
        <v>2651</v>
      </c>
      <c r="E73" s="1866" t="s">
        <v>2652</v>
      </c>
      <c r="F73" s="1866" t="s">
        <v>2630</v>
      </c>
      <c r="G73" s="1866" t="s">
        <v>28</v>
      </c>
      <c r="H73" s="1866" t="s">
        <v>28</v>
      </c>
      <c r="I73" s="1866" t="s">
        <v>960</v>
      </c>
    </row>
    <row customHeight="1" ht="11.25">
      <c r="A74" s="1866" t="s">
        <v>2394</v>
      </c>
      <c r="B74" s="1866" t="s">
        <v>16</v>
      </c>
      <c r="C74" s="1866" t="s">
        <v>2653</v>
      </c>
      <c r="D74" s="1866" t="s">
        <v>2654</v>
      </c>
      <c r="E74" s="1866" t="s">
        <v>2655</v>
      </c>
      <c r="F74" s="1866" t="s">
        <v>2540</v>
      </c>
      <c r="G74" s="1866" t="s">
        <v>2656</v>
      </c>
      <c r="H74" s="1866" t="s">
        <v>28</v>
      </c>
      <c r="I74" s="1866" t="s">
        <v>960</v>
      </c>
    </row>
    <row customHeight="1" ht="11.25">
      <c r="A75" s="1866" t="s">
        <v>2394</v>
      </c>
      <c r="B75" s="1866" t="s">
        <v>16</v>
      </c>
      <c r="C75" s="1866" t="s">
        <v>2657</v>
      </c>
      <c r="D75" s="1866" t="s">
        <v>2658</v>
      </c>
      <c r="E75" s="1866" t="s">
        <v>2659</v>
      </c>
      <c r="F75" s="1866" t="s">
        <v>2660</v>
      </c>
      <c r="G75" s="1866" t="s">
        <v>2661</v>
      </c>
      <c r="H75" s="1866" t="s">
        <v>28</v>
      </c>
      <c r="I75" s="1866" t="s">
        <v>960</v>
      </c>
    </row>
    <row customHeight="1" ht="11.25">
      <c r="A76" s="1866" t="s">
        <v>2394</v>
      </c>
      <c r="B76" s="1866" t="s">
        <v>16</v>
      </c>
      <c r="C76" s="1866" t="s">
        <v>2662</v>
      </c>
      <c r="D76" s="1866" t="s">
        <v>2663</v>
      </c>
      <c r="E76" s="1866" t="s">
        <v>2664</v>
      </c>
      <c r="F76" s="1866" t="s">
        <v>2630</v>
      </c>
      <c r="G76" s="1866" t="s">
        <v>28</v>
      </c>
      <c r="H76" s="1866" t="s">
        <v>28</v>
      </c>
      <c r="I76" s="1866" t="s">
        <v>960</v>
      </c>
    </row>
    <row customHeight="1" ht="11.25">
      <c r="A77" s="1866" t="s">
        <v>2394</v>
      </c>
      <c r="B77" s="1866" t="s">
        <v>16</v>
      </c>
      <c r="C77" s="1866" t="s">
        <v>2665</v>
      </c>
      <c r="D77" s="1866" t="s">
        <v>2666</v>
      </c>
      <c r="E77" s="1866" t="s">
        <v>2667</v>
      </c>
      <c r="F77" s="1866" t="s">
        <v>2630</v>
      </c>
      <c r="G77" s="1866" t="s">
        <v>28</v>
      </c>
      <c r="H77" s="1866" t="s">
        <v>28</v>
      </c>
      <c r="I77" s="1866" t="s">
        <v>960</v>
      </c>
    </row>
    <row customHeight="1" ht="11.25">
      <c r="A78" s="1866" t="s">
        <v>2394</v>
      </c>
      <c r="B78" s="1866" t="s">
        <v>16</v>
      </c>
      <c r="C78" s="1866" t="s">
        <v>2668</v>
      </c>
      <c r="D78" s="1866" t="s">
        <v>2669</v>
      </c>
      <c r="E78" s="1866" t="s">
        <v>2670</v>
      </c>
      <c r="F78" s="1866" t="s">
        <v>2671</v>
      </c>
      <c r="G78" s="1866" t="s">
        <v>28</v>
      </c>
      <c r="H78" s="1866" t="s">
        <v>28</v>
      </c>
      <c r="I78" s="1866" t="s">
        <v>960</v>
      </c>
    </row>
    <row customHeight="1" ht="11.25">
      <c r="A79" s="1866" t="s">
        <v>2394</v>
      </c>
      <c r="B79" s="1866" t="s">
        <v>16</v>
      </c>
      <c r="C79" s="1866" t="s">
        <v>2672</v>
      </c>
      <c r="D79" s="1866" t="s">
        <v>2673</v>
      </c>
      <c r="E79" s="1866" t="s">
        <v>2674</v>
      </c>
      <c r="F79" s="1866" t="s">
        <v>2397</v>
      </c>
      <c r="G79" s="1866" t="s">
        <v>28</v>
      </c>
      <c r="H79" s="1866" t="s">
        <v>28</v>
      </c>
      <c r="I79" s="1866" t="s">
        <v>960</v>
      </c>
    </row>
    <row customHeight="1" ht="11.25">
      <c r="A80" s="1866" t="s">
        <v>2394</v>
      </c>
      <c r="B80" s="1866" t="s">
        <v>16</v>
      </c>
      <c r="C80" s="1866" t="s">
        <v>2675</v>
      </c>
      <c r="D80" s="1866" t="s">
        <v>2676</v>
      </c>
      <c r="E80" s="1866" t="s">
        <v>2677</v>
      </c>
      <c r="F80" s="1866" t="s">
        <v>2443</v>
      </c>
      <c r="G80" s="1866" t="s">
        <v>28</v>
      </c>
      <c r="H80" s="1866" t="s">
        <v>28</v>
      </c>
      <c r="I80" s="1866" t="s">
        <v>960</v>
      </c>
    </row>
    <row customHeight="1" ht="11.25">
      <c r="A81" s="1866" t="s">
        <v>2394</v>
      </c>
      <c r="B81" s="1866" t="s">
        <v>16</v>
      </c>
      <c r="C81" s="1866" t="s">
        <v>2678</v>
      </c>
      <c r="D81" s="1866" t="s">
        <v>2679</v>
      </c>
      <c r="E81" s="1866" t="s">
        <v>2680</v>
      </c>
      <c r="F81" s="1866" t="s">
        <v>2401</v>
      </c>
      <c r="G81" s="1866" t="s">
        <v>28</v>
      </c>
      <c r="H81" s="1866" t="s">
        <v>28</v>
      </c>
      <c r="I81" s="1866" t="s">
        <v>960</v>
      </c>
    </row>
    <row customHeight="1" ht="11.25">
      <c r="A82" s="1866" t="s">
        <v>2394</v>
      </c>
      <c r="B82" s="1866" t="s">
        <v>16</v>
      </c>
      <c r="C82" s="1866" t="s">
        <v>2681</v>
      </c>
      <c r="D82" s="1866" t="s">
        <v>2682</v>
      </c>
      <c r="E82" s="1866" t="s">
        <v>2683</v>
      </c>
      <c r="F82" s="1866" t="s">
        <v>2684</v>
      </c>
      <c r="G82" s="1866" t="s">
        <v>2685</v>
      </c>
      <c r="H82" s="1866" t="s">
        <v>28</v>
      </c>
      <c r="I82" s="1866" t="s">
        <v>960</v>
      </c>
    </row>
    <row customHeight="1" ht="11.25">
      <c r="A83" s="1866" t="s">
        <v>2394</v>
      </c>
      <c r="B83" s="1866" t="s">
        <v>16</v>
      </c>
      <c r="C83" s="1866" t="s">
        <v>2686</v>
      </c>
      <c r="D83" s="1866" t="s">
        <v>2687</v>
      </c>
      <c r="E83" s="1866" t="s">
        <v>2688</v>
      </c>
      <c r="F83" s="1866" t="s">
        <v>2431</v>
      </c>
      <c r="G83" s="1866" t="s">
        <v>2689</v>
      </c>
      <c r="H83" s="1866" t="s">
        <v>28</v>
      </c>
      <c r="I83" s="1866" t="s">
        <v>960</v>
      </c>
    </row>
    <row customHeight="1" ht="11.25">
      <c r="A84" s="1866" t="s">
        <v>2394</v>
      </c>
      <c r="B84" s="1866" t="s">
        <v>16</v>
      </c>
      <c r="C84" s="1866" t="s">
        <v>2690</v>
      </c>
      <c r="D84" s="1866" t="s">
        <v>2691</v>
      </c>
      <c r="E84" s="1866" t="s">
        <v>2692</v>
      </c>
      <c r="F84" s="1866" t="s">
        <v>2671</v>
      </c>
      <c r="G84" s="1866" t="s">
        <v>28</v>
      </c>
      <c r="H84" s="1866" t="s">
        <v>28</v>
      </c>
      <c r="I84" s="1866" t="s">
        <v>960</v>
      </c>
    </row>
    <row customHeight="1" ht="11.25">
      <c r="A85" s="1866" t="s">
        <v>2394</v>
      </c>
      <c r="B85" s="1866" t="s">
        <v>16</v>
      </c>
      <c r="C85" s="1866" t="s">
        <v>2693</v>
      </c>
      <c r="D85" s="1866" t="s">
        <v>2694</v>
      </c>
      <c r="E85" s="1866" t="s">
        <v>2695</v>
      </c>
      <c r="F85" s="1866" t="s">
        <v>2605</v>
      </c>
      <c r="G85" s="1866" t="s">
        <v>2696</v>
      </c>
      <c r="H85" s="1866" t="s">
        <v>28</v>
      </c>
      <c r="I85" s="1866" t="s">
        <v>960</v>
      </c>
    </row>
    <row customHeight="1" ht="11.25">
      <c r="A86" s="1866" t="s">
        <v>2394</v>
      </c>
      <c r="B86" s="1866" t="s">
        <v>16</v>
      </c>
      <c r="C86" s="1866" t="s">
        <v>2697</v>
      </c>
      <c r="D86" s="1866" t="s">
        <v>2698</v>
      </c>
      <c r="E86" s="1866" t="s">
        <v>2699</v>
      </c>
      <c r="F86" s="1866" t="s">
        <v>2464</v>
      </c>
      <c r="G86" s="1866" t="s">
        <v>28</v>
      </c>
      <c r="H86" s="1866" t="s">
        <v>28</v>
      </c>
      <c r="I86" s="1866" t="s">
        <v>960</v>
      </c>
    </row>
    <row customHeight="1" ht="11.25">
      <c r="A87" s="1866" t="s">
        <v>2394</v>
      </c>
      <c r="B87" s="1866" t="s">
        <v>16</v>
      </c>
      <c r="C87" s="1866" t="s">
        <v>2700</v>
      </c>
      <c r="D87" s="1866" t="s">
        <v>2701</v>
      </c>
      <c r="E87" s="1866" t="s">
        <v>2702</v>
      </c>
      <c r="F87" s="1866" t="s">
        <v>2443</v>
      </c>
      <c r="G87" s="1866" t="s">
        <v>28</v>
      </c>
      <c r="H87" s="1866" t="s">
        <v>28</v>
      </c>
      <c r="I87" s="1866" t="s">
        <v>960</v>
      </c>
    </row>
    <row customHeight="1" ht="11.25">
      <c r="A88" s="1866" t="s">
        <v>2394</v>
      </c>
      <c r="B88" s="1866" t="s">
        <v>16</v>
      </c>
      <c r="C88" s="1866" t="s">
        <v>2703</v>
      </c>
      <c r="D88" s="1866" t="s">
        <v>2704</v>
      </c>
      <c r="E88" s="1866" t="s">
        <v>2705</v>
      </c>
      <c r="F88" s="1866" t="s">
        <v>2584</v>
      </c>
      <c r="G88" s="1866" t="s">
        <v>28</v>
      </c>
      <c r="H88" s="1866" t="s">
        <v>28</v>
      </c>
      <c r="I88" s="1866" t="s">
        <v>960</v>
      </c>
    </row>
    <row customHeight="1" ht="11.25">
      <c r="A89" s="1866" t="s">
        <v>2394</v>
      </c>
      <c r="B89" s="1866" t="s">
        <v>16</v>
      </c>
      <c r="C89" s="1866" t="s">
        <v>2706</v>
      </c>
      <c r="D89" s="1866" t="s">
        <v>2707</v>
      </c>
      <c r="E89" s="1866" t="s">
        <v>2708</v>
      </c>
      <c r="F89" s="1866" t="s">
        <v>2401</v>
      </c>
      <c r="G89" s="1866" t="s">
        <v>28</v>
      </c>
      <c r="H89" s="1866" t="s">
        <v>28</v>
      </c>
      <c r="I89" s="1866" t="s">
        <v>960</v>
      </c>
    </row>
    <row customHeight="1" ht="11.25">
      <c r="A90" s="1866" t="s">
        <v>2394</v>
      </c>
      <c r="B90" s="1866" t="s">
        <v>16</v>
      </c>
      <c r="C90" s="1866" t="s">
        <v>2709</v>
      </c>
      <c r="D90" s="1866" t="s">
        <v>2710</v>
      </c>
      <c r="E90" s="1866" t="s">
        <v>2711</v>
      </c>
      <c r="F90" s="1866" t="s">
        <v>2401</v>
      </c>
      <c r="G90" s="1866" t="s">
        <v>28</v>
      </c>
      <c r="H90" s="1866" t="s">
        <v>28</v>
      </c>
      <c r="I90" s="1866" t="s">
        <v>960</v>
      </c>
    </row>
    <row customHeight="1" ht="11.25">
      <c r="A91" s="1866" t="s">
        <v>2394</v>
      </c>
      <c r="B91" s="1866" t="s">
        <v>16</v>
      </c>
      <c r="C91" s="1866" t="s">
        <v>2712</v>
      </c>
      <c r="D91" s="1866" t="s">
        <v>2713</v>
      </c>
      <c r="E91" s="1866" t="s">
        <v>2714</v>
      </c>
      <c r="F91" s="1866" t="s">
        <v>2584</v>
      </c>
      <c r="G91" s="1866" t="s">
        <v>2465</v>
      </c>
      <c r="H91" s="1866" t="s">
        <v>28</v>
      </c>
      <c r="I91" s="1866" t="s">
        <v>960</v>
      </c>
    </row>
    <row customHeight="1" ht="11.25">
      <c r="A92" s="1866" t="s">
        <v>2394</v>
      </c>
      <c r="B92" s="1866" t="s">
        <v>16</v>
      </c>
      <c r="C92" s="1866" t="s">
        <v>2715</v>
      </c>
      <c r="D92" s="1866" t="s">
        <v>2716</v>
      </c>
      <c r="E92" s="1866" t="s">
        <v>2717</v>
      </c>
      <c r="F92" s="1866" t="s">
        <v>2409</v>
      </c>
      <c r="G92" s="1866" t="s">
        <v>28</v>
      </c>
      <c r="H92" s="1866" t="s">
        <v>28</v>
      </c>
      <c r="I92" s="1866" t="s">
        <v>960</v>
      </c>
    </row>
    <row customHeight="1" ht="11.25">
      <c r="A93" s="1866" t="s">
        <v>2394</v>
      </c>
      <c r="B93" s="1866" t="s">
        <v>16</v>
      </c>
      <c r="C93" s="1866" t="s">
        <v>2718</v>
      </c>
      <c r="D93" s="1866" t="s">
        <v>2719</v>
      </c>
      <c r="E93" s="1866" t="s">
        <v>2720</v>
      </c>
      <c r="F93" s="1866" t="s">
        <v>2472</v>
      </c>
      <c r="G93" s="1866" t="s">
        <v>28</v>
      </c>
      <c r="H93" s="1866" t="s">
        <v>28</v>
      </c>
      <c r="I93" s="1866" t="s">
        <v>960</v>
      </c>
    </row>
    <row customHeight="1" ht="11.25">
      <c r="A94" s="1866" t="s">
        <v>2394</v>
      </c>
      <c r="B94" s="1866" t="s">
        <v>16</v>
      </c>
      <c r="C94" s="1866" t="s">
        <v>2721</v>
      </c>
      <c r="D94" s="1866" t="s">
        <v>2722</v>
      </c>
      <c r="E94" s="1866" t="s">
        <v>2723</v>
      </c>
      <c r="F94" s="1866" t="s">
        <v>2724</v>
      </c>
      <c r="G94" s="1866" t="s">
        <v>28</v>
      </c>
      <c r="H94" s="1866" t="s">
        <v>28</v>
      </c>
      <c r="I94" s="1866" t="s">
        <v>960</v>
      </c>
    </row>
    <row customHeight="1" ht="11.25">
      <c r="A95" s="1866" t="s">
        <v>2394</v>
      </c>
      <c r="B95" s="1866" t="s">
        <v>16</v>
      </c>
      <c r="C95" s="1866" t="s">
        <v>2725</v>
      </c>
      <c r="D95" s="1866" t="s">
        <v>2726</v>
      </c>
      <c r="E95" s="1866" t="s">
        <v>2727</v>
      </c>
      <c r="F95" s="1866" t="s">
        <v>2455</v>
      </c>
      <c r="G95" s="1866" t="s">
        <v>28</v>
      </c>
      <c r="H95" s="1866" t="s">
        <v>28</v>
      </c>
      <c r="I95" s="1866" t="s">
        <v>960</v>
      </c>
    </row>
    <row customHeight="1" ht="11.25">
      <c r="A96" s="1866" t="s">
        <v>2394</v>
      </c>
      <c r="B96" s="1866" t="s">
        <v>16</v>
      </c>
      <c r="C96" s="1866" t="s">
        <v>2728</v>
      </c>
      <c r="D96" s="1866" t="s">
        <v>2729</v>
      </c>
      <c r="E96" s="1866" t="s">
        <v>2730</v>
      </c>
      <c r="F96" s="1866" t="s">
        <v>2401</v>
      </c>
      <c r="G96" s="1866" t="s">
        <v>28</v>
      </c>
      <c r="H96" s="1866" t="s">
        <v>28</v>
      </c>
      <c r="I96" s="1866" t="s">
        <v>960</v>
      </c>
    </row>
    <row customHeight="1" ht="11.25">
      <c r="A97" s="1866" t="s">
        <v>2394</v>
      </c>
      <c r="B97" s="1866" t="s">
        <v>16</v>
      </c>
      <c r="C97" s="1866" t="s">
        <v>2731</v>
      </c>
      <c r="D97" s="1866" t="s">
        <v>2732</v>
      </c>
      <c r="E97" s="1866" t="s">
        <v>2733</v>
      </c>
      <c r="F97" s="1866" t="s">
        <v>2472</v>
      </c>
      <c r="G97" s="1866" t="s">
        <v>2734</v>
      </c>
      <c r="H97" s="1866" t="s">
        <v>28</v>
      </c>
      <c r="I97" s="1866" t="s">
        <v>960</v>
      </c>
    </row>
    <row customHeight="1" ht="11.25">
      <c r="A98" s="1866" t="s">
        <v>2394</v>
      </c>
      <c r="B98" s="1866" t="s">
        <v>16</v>
      </c>
      <c r="C98" s="1866" t="s">
        <v>2735</v>
      </c>
      <c r="D98" s="1866" t="s">
        <v>2736</v>
      </c>
      <c r="E98" s="1866" t="s">
        <v>2737</v>
      </c>
      <c r="F98" s="1866" t="s">
        <v>2738</v>
      </c>
      <c r="G98" s="1866" t="s">
        <v>28</v>
      </c>
      <c r="H98" s="1866" t="s">
        <v>28</v>
      </c>
      <c r="I98" s="1866" t="s">
        <v>960</v>
      </c>
    </row>
    <row customHeight="1" ht="11.25">
      <c r="A99" s="1866" t="s">
        <v>2394</v>
      </c>
      <c r="B99" s="1866" t="s">
        <v>16</v>
      </c>
      <c r="C99" s="1866" t="s">
        <v>2739</v>
      </c>
      <c r="D99" s="1866" t="s">
        <v>2740</v>
      </c>
      <c r="E99" s="1866" t="s">
        <v>2741</v>
      </c>
      <c r="F99" s="1866" t="s">
        <v>2397</v>
      </c>
      <c r="G99" s="1866" t="s">
        <v>28</v>
      </c>
      <c r="H99" s="1866" t="s">
        <v>28</v>
      </c>
      <c r="I99" s="1866" t="s">
        <v>960</v>
      </c>
    </row>
    <row customHeight="1" ht="11.25">
      <c r="A100" s="1866" t="s">
        <v>2394</v>
      </c>
      <c r="B100" s="1866" t="s">
        <v>16</v>
      </c>
      <c r="C100" s="1866" t="s">
        <v>2742</v>
      </c>
      <c r="D100" s="1866" t="s">
        <v>2743</v>
      </c>
      <c r="E100" s="1866" t="s">
        <v>2744</v>
      </c>
      <c r="F100" s="1866" t="s">
        <v>2414</v>
      </c>
      <c r="G100" s="1866" t="s">
        <v>28</v>
      </c>
      <c r="H100" s="1866" t="s">
        <v>28</v>
      </c>
      <c r="I100" s="1866" t="s">
        <v>960</v>
      </c>
    </row>
    <row customHeight="1" ht="11.25">
      <c r="A101" s="1866" t="s">
        <v>2394</v>
      </c>
      <c r="B101" s="1866" t="s">
        <v>16</v>
      </c>
      <c r="C101" s="1866" t="s">
        <v>2745</v>
      </c>
      <c r="D101" s="1866" t="s">
        <v>2746</v>
      </c>
      <c r="E101" s="1866" t="s">
        <v>2747</v>
      </c>
      <c r="F101" s="1866" t="s">
        <v>2401</v>
      </c>
      <c r="G101" s="1866" t="s">
        <v>28</v>
      </c>
      <c r="H101" s="1866" t="s">
        <v>28</v>
      </c>
      <c r="I101" s="1866" t="s">
        <v>960</v>
      </c>
    </row>
    <row customHeight="1" ht="11.25">
      <c r="A102" s="1866" t="s">
        <v>2394</v>
      </c>
      <c r="B102" s="1866" t="s">
        <v>16</v>
      </c>
      <c r="C102" s="1866" t="s">
        <v>2748</v>
      </c>
      <c r="D102" s="1866" t="s">
        <v>2749</v>
      </c>
      <c r="E102" s="1866" t="s">
        <v>2750</v>
      </c>
      <c r="F102" s="1866" t="s">
        <v>2751</v>
      </c>
      <c r="G102" s="1866" t="s">
        <v>2752</v>
      </c>
      <c r="H102" s="1866" t="s">
        <v>28</v>
      </c>
      <c r="I102" s="1866" t="s">
        <v>960</v>
      </c>
    </row>
    <row customHeight="1" ht="11.25">
      <c r="A103" s="1866" t="s">
        <v>2394</v>
      </c>
      <c r="B103" s="1866" t="s">
        <v>16</v>
      </c>
      <c r="C103" s="1866" t="s">
        <v>2753</v>
      </c>
      <c r="D103" s="1866" t="s">
        <v>2754</v>
      </c>
      <c r="E103" s="1866" t="s">
        <v>2755</v>
      </c>
      <c r="F103" s="1866" t="s">
        <v>2724</v>
      </c>
      <c r="G103" s="1866" t="s">
        <v>2756</v>
      </c>
      <c r="H103" s="1866" t="s">
        <v>28</v>
      </c>
      <c r="I103" s="1866" t="s">
        <v>960</v>
      </c>
    </row>
    <row customHeight="1" ht="11.25">
      <c r="A104" s="1866" t="s">
        <v>2394</v>
      </c>
      <c r="B104" s="1866" t="s">
        <v>16</v>
      </c>
      <c r="C104" s="1866" t="s">
        <v>2757</v>
      </c>
      <c r="D104" s="1866" t="s">
        <v>2758</v>
      </c>
      <c r="E104" s="1866" t="s">
        <v>2759</v>
      </c>
      <c r="F104" s="1866" t="s">
        <v>2455</v>
      </c>
      <c r="G104" s="1866" t="s">
        <v>2760</v>
      </c>
      <c r="H104" s="1866" t="s">
        <v>28</v>
      </c>
      <c r="I104" s="1866" t="s">
        <v>960</v>
      </c>
    </row>
    <row customHeight="1" ht="11.25">
      <c r="A105" s="1866" t="s">
        <v>2394</v>
      </c>
      <c r="B105" s="1866" t="s">
        <v>16</v>
      </c>
      <c r="C105" s="1866" t="s">
        <v>2761</v>
      </c>
      <c r="D105" s="1866" t="s">
        <v>2762</v>
      </c>
      <c r="E105" s="1866" t="s">
        <v>2763</v>
      </c>
      <c r="F105" s="1866" t="s">
        <v>2764</v>
      </c>
      <c r="G105" s="1866" t="s">
        <v>28</v>
      </c>
      <c r="H105" s="1866" t="s">
        <v>28</v>
      </c>
      <c r="I105" s="1866" t="s">
        <v>960</v>
      </c>
    </row>
    <row customHeight="1" ht="11.25">
      <c r="A106" s="1866" t="s">
        <v>2394</v>
      </c>
      <c r="B106" s="1866" t="s">
        <v>16</v>
      </c>
      <c r="C106" s="1866" t="s">
        <v>2765</v>
      </c>
      <c r="D106" s="1866" t="s">
        <v>2766</v>
      </c>
      <c r="E106" s="1866" t="s">
        <v>2767</v>
      </c>
      <c r="F106" s="1866" t="s">
        <v>2397</v>
      </c>
      <c r="G106" s="1866" t="s">
        <v>28</v>
      </c>
      <c r="H106" s="1866" t="s">
        <v>28</v>
      </c>
      <c r="I106" s="1866" t="s">
        <v>960</v>
      </c>
    </row>
    <row customHeight="1" ht="11.25">
      <c r="A107" s="1866" t="s">
        <v>2394</v>
      </c>
      <c r="B107" s="1866" t="s">
        <v>16</v>
      </c>
      <c r="C107" s="1866" t="s">
        <v>2768</v>
      </c>
      <c r="D107" s="1866" t="s">
        <v>2769</v>
      </c>
      <c r="E107" s="1866" t="s">
        <v>2501</v>
      </c>
      <c r="F107" s="1866" t="s">
        <v>2770</v>
      </c>
      <c r="G107" s="1866" t="s">
        <v>28</v>
      </c>
      <c r="H107" s="1866" t="s">
        <v>28</v>
      </c>
      <c r="I107" s="1866" t="s">
        <v>960</v>
      </c>
    </row>
    <row customHeight="1" ht="11.25">
      <c r="A108" s="1866" t="s">
        <v>2394</v>
      </c>
      <c r="B108" s="1866" t="s">
        <v>16</v>
      </c>
      <c r="C108" s="1866" t="s">
        <v>2771</v>
      </c>
      <c r="D108" s="1866" t="s">
        <v>2772</v>
      </c>
      <c r="E108" s="1866" t="s">
        <v>2773</v>
      </c>
      <c r="F108" s="1866" t="s">
        <v>2605</v>
      </c>
      <c r="G108" s="1866" t="s">
        <v>28</v>
      </c>
      <c r="H108" s="1866" t="s">
        <v>28</v>
      </c>
      <c r="I108" s="1866" t="s">
        <v>960</v>
      </c>
    </row>
    <row customHeight="1" ht="11.25">
      <c r="A109" s="1866" t="s">
        <v>2394</v>
      </c>
      <c r="B109" s="1866" t="s">
        <v>16</v>
      </c>
      <c r="C109" s="1866" t="s">
        <v>2774</v>
      </c>
      <c r="D109" s="1866" t="s">
        <v>2775</v>
      </c>
      <c r="E109" s="1866" t="s">
        <v>2776</v>
      </c>
      <c r="F109" s="1866" t="s">
        <v>2777</v>
      </c>
      <c r="G109" s="1866" t="s">
        <v>2778</v>
      </c>
      <c r="H109" s="1866" t="s">
        <v>28</v>
      </c>
      <c r="I109" s="1866" t="s">
        <v>960</v>
      </c>
    </row>
    <row customHeight="1" ht="11.25">
      <c r="A110" s="1866" t="s">
        <v>2394</v>
      </c>
      <c r="B110" s="1866" t="s">
        <v>16</v>
      </c>
      <c r="C110" s="1866" t="s">
        <v>2779</v>
      </c>
      <c r="D110" s="1866" t="s">
        <v>2780</v>
      </c>
      <c r="E110" s="1866" t="s">
        <v>2781</v>
      </c>
      <c r="F110" s="1866" t="s">
        <v>2605</v>
      </c>
      <c r="G110" s="1866" t="s">
        <v>28</v>
      </c>
      <c r="H110" s="1866" t="s">
        <v>28</v>
      </c>
      <c r="I110" s="1866" t="s">
        <v>960</v>
      </c>
    </row>
    <row customHeight="1" ht="11.25">
      <c r="A111" s="1866" t="s">
        <v>2394</v>
      </c>
      <c r="B111" s="1866" t="s">
        <v>16</v>
      </c>
      <c r="C111" s="1866" t="s">
        <v>2782</v>
      </c>
      <c r="D111" s="1866" t="s">
        <v>2783</v>
      </c>
      <c r="E111" s="1866" t="s">
        <v>2784</v>
      </c>
      <c r="F111" s="1866" t="s">
        <v>54</v>
      </c>
      <c r="G111" s="1866" t="s">
        <v>28</v>
      </c>
      <c r="H111" s="1866" t="s">
        <v>28</v>
      </c>
      <c r="I111" s="1866" t="s">
        <v>960</v>
      </c>
    </row>
    <row customHeight="1" ht="11.25">
      <c r="A112" s="1866" t="s">
        <v>2394</v>
      </c>
      <c r="B112" s="1866" t="s">
        <v>16</v>
      </c>
      <c r="C112" s="1866" t="s">
        <v>2785</v>
      </c>
      <c r="D112" s="1866" t="s">
        <v>2786</v>
      </c>
      <c r="E112" s="1866" t="s">
        <v>2787</v>
      </c>
      <c r="F112" s="1866" t="s">
        <v>2540</v>
      </c>
      <c r="G112" s="1866" t="s">
        <v>28</v>
      </c>
      <c r="H112" s="1866" t="s">
        <v>28</v>
      </c>
      <c r="I112" s="1866" t="s">
        <v>960</v>
      </c>
    </row>
    <row customHeight="1" ht="11.25">
      <c r="A113" s="1866" t="s">
        <v>2394</v>
      </c>
      <c r="B113" s="1866" t="s">
        <v>16</v>
      </c>
      <c r="C113" s="1866" t="s">
        <v>2788</v>
      </c>
      <c r="D113" s="1866" t="s">
        <v>2789</v>
      </c>
      <c r="E113" s="1866" t="s">
        <v>2790</v>
      </c>
      <c r="F113" s="1866" t="s">
        <v>2405</v>
      </c>
      <c r="G113" s="1866" t="s">
        <v>28</v>
      </c>
      <c r="H113" s="1866" t="s">
        <v>28</v>
      </c>
      <c r="I113" s="1866" t="s">
        <v>960</v>
      </c>
    </row>
    <row customHeight="1" ht="11.25">
      <c r="A114" s="1866" t="s">
        <v>2394</v>
      </c>
      <c r="B114" s="1866" t="s">
        <v>16</v>
      </c>
      <c r="C114" s="1866" t="s">
        <v>2791</v>
      </c>
      <c r="D114" s="1866" t="s">
        <v>2792</v>
      </c>
      <c r="E114" s="1866" t="s">
        <v>2793</v>
      </c>
      <c r="F114" s="1866" t="s">
        <v>2794</v>
      </c>
      <c r="G114" s="1866" t="s">
        <v>28</v>
      </c>
      <c r="H114" s="1866" t="s">
        <v>28</v>
      </c>
      <c r="I114" s="1866" t="s">
        <v>960</v>
      </c>
    </row>
    <row customHeight="1" ht="11.25">
      <c r="A115" s="1866" t="s">
        <v>2394</v>
      </c>
      <c r="B115" s="1866" t="s">
        <v>16</v>
      </c>
      <c r="C115" s="1866" t="s">
        <v>2795</v>
      </c>
      <c r="D115" s="1866" t="s">
        <v>2796</v>
      </c>
      <c r="E115" s="1866" t="s">
        <v>2797</v>
      </c>
      <c r="F115" s="1866" t="s">
        <v>2464</v>
      </c>
      <c r="G115" s="1866" t="s">
        <v>28</v>
      </c>
      <c r="H115" s="1866" t="s">
        <v>28</v>
      </c>
      <c r="I115" s="1866" t="s">
        <v>960</v>
      </c>
    </row>
    <row customHeight="1" ht="11.25">
      <c r="A116" s="1866" t="s">
        <v>2394</v>
      </c>
      <c r="B116" s="1866" t="s">
        <v>16</v>
      </c>
      <c r="C116" s="1866" t="s">
        <v>2798</v>
      </c>
      <c r="D116" s="1866" t="s">
        <v>2799</v>
      </c>
      <c r="E116" s="1866" t="s">
        <v>2800</v>
      </c>
      <c r="F116" s="1866" t="s">
        <v>2443</v>
      </c>
      <c r="G116" s="1866" t="s">
        <v>28</v>
      </c>
      <c r="H116" s="1866" t="s">
        <v>28</v>
      </c>
      <c r="I116" s="1866" t="s">
        <v>960</v>
      </c>
    </row>
    <row customHeight="1" ht="11.25">
      <c r="A117" s="1866" t="s">
        <v>2394</v>
      </c>
      <c r="B117" s="1866" t="s">
        <v>16</v>
      </c>
      <c r="C117" s="1866" t="s">
        <v>2801</v>
      </c>
      <c r="D117" s="1866" t="s">
        <v>2802</v>
      </c>
      <c r="E117" s="1866" t="s">
        <v>2803</v>
      </c>
      <c r="F117" s="1866" t="s">
        <v>54</v>
      </c>
      <c r="G117" s="1866" t="s">
        <v>28</v>
      </c>
      <c r="H117" s="1866" t="s">
        <v>28</v>
      </c>
      <c r="I117" s="1866" t="s">
        <v>960</v>
      </c>
    </row>
    <row customHeight="1" ht="11.25">
      <c r="A118" s="1866" t="s">
        <v>2394</v>
      </c>
      <c r="B118" s="1866" t="s">
        <v>16</v>
      </c>
      <c r="C118" s="1866" t="s">
        <v>2804</v>
      </c>
      <c r="D118" s="1866" t="s">
        <v>2805</v>
      </c>
      <c r="E118" s="1866" t="s">
        <v>2806</v>
      </c>
      <c r="F118" s="1866" t="s">
        <v>2443</v>
      </c>
      <c r="G118" s="1866" t="s">
        <v>28</v>
      </c>
      <c r="H118" s="1866" t="s">
        <v>28</v>
      </c>
      <c r="I118" s="1866" t="s">
        <v>960</v>
      </c>
    </row>
    <row customHeight="1" ht="11.25">
      <c r="A119" s="1866" t="s">
        <v>2394</v>
      </c>
      <c r="B119" s="1866" t="s">
        <v>16</v>
      </c>
      <c r="C119" s="1866" t="s">
        <v>2807</v>
      </c>
      <c r="D119" s="1866" t="s">
        <v>2808</v>
      </c>
      <c r="E119" s="1866" t="s">
        <v>2809</v>
      </c>
      <c r="F119" s="1866" t="s">
        <v>2443</v>
      </c>
      <c r="G119" s="1866" t="s">
        <v>28</v>
      </c>
      <c r="H119" s="1866" t="s">
        <v>28</v>
      </c>
      <c r="I119" s="1866" t="s">
        <v>960</v>
      </c>
    </row>
    <row customHeight="1" ht="11.25">
      <c r="A120" s="1866" t="s">
        <v>2394</v>
      </c>
      <c r="B120" s="1866" t="s">
        <v>16</v>
      </c>
      <c r="C120" s="1866" t="s">
        <v>2810</v>
      </c>
      <c r="D120" s="1866" t="s">
        <v>2811</v>
      </c>
      <c r="E120" s="1866" t="s">
        <v>2812</v>
      </c>
      <c r="F120" s="1866" t="s">
        <v>2605</v>
      </c>
      <c r="G120" s="1866" t="s">
        <v>28</v>
      </c>
      <c r="H120" s="1866" t="s">
        <v>28</v>
      </c>
      <c r="I120" s="1866" t="s">
        <v>960</v>
      </c>
    </row>
    <row customHeight="1" ht="11.25">
      <c r="A121" s="1866" t="s">
        <v>2394</v>
      </c>
      <c r="B121" s="1866" t="s">
        <v>16</v>
      </c>
      <c r="C121" s="1866" t="s">
        <v>2813</v>
      </c>
      <c r="D121" s="1866" t="s">
        <v>2814</v>
      </c>
      <c r="E121" s="1866" t="s">
        <v>2815</v>
      </c>
      <c r="F121" s="1866" t="s">
        <v>2816</v>
      </c>
      <c r="G121" s="1866" t="s">
        <v>28</v>
      </c>
      <c r="H121" s="1866" t="s">
        <v>28</v>
      </c>
      <c r="I121" s="1866" t="s">
        <v>960</v>
      </c>
    </row>
    <row customHeight="1" ht="11.25">
      <c r="A122" s="1866" t="s">
        <v>2394</v>
      </c>
      <c r="B122" s="1866" t="s">
        <v>16</v>
      </c>
      <c r="C122" s="1866" t="s">
        <v>2817</v>
      </c>
      <c r="D122" s="1866" t="s">
        <v>2818</v>
      </c>
      <c r="E122" s="1866" t="s">
        <v>2819</v>
      </c>
      <c r="F122" s="1866" t="s">
        <v>2820</v>
      </c>
      <c r="G122" s="1866" t="s">
        <v>28</v>
      </c>
      <c r="H122" s="1866" t="s">
        <v>28</v>
      </c>
      <c r="I122" s="1866" t="s">
        <v>960</v>
      </c>
    </row>
    <row customHeight="1" ht="11.25">
      <c r="A123" s="1866" t="s">
        <v>2394</v>
      </c>
      <c r="B123" s="1866" t="s">
        <v>16</v>
      </c>
      <c r="C123" s="1866" t="s">
        <v>2821</v>
      </c>
      <c r="D123" s="1866" t="s">
        <v>2822</v>
      </c>
      <c r="E123" s="1866" t="s">
        <v>2823</v>
      </c>
      <c r="F123" s="1866" t="s">
        <v>2431</v>
      </c>
      <c r="G123" s="1866" t="s">
        <v>28</v>
      </c>
      <c r="H123" s="1866" t="s">
        <v>28</v>
      </c>
      <c r="I123" s="1866" t="s">
        <v>960</v>
      </c>
    </row>
    <row customHeight="1" ht="11.25">
      <c r="A124" s="1866" t="s">
        <v>2394</v>
      </c>
      <c r="B124" s="1866" t="s">
        <v>16</v>
      </c>
      <c r="C124" s="1866" t="s">
        <v>2824</v>
      </c>
      <c r="D124" s="1866" t="s">
        <v>2825</v>
      </c>
      <c r="E124" s="1866" t="s">
        <v>2826</v>
      </c>
      <c r="F124" s="1866" t="s">
        <v>2435</v>
      </c>
      <c r="G124" s="1866" t="s">
        <v>28</v>
      </c>
      <c r="H124" s="1866" t="s">
        <v>28</v>
      </c>
      <c r="I124" s="1866" t="s">
        <v>960</v>
      </c>
    </row>
    <row customHeight="1" ht="11.25">
      <c r="A125" s="1866" t="s">
        <v>2394</v>
      </c>
      <c r="B125" s="1866" t="s">
        <v>16</v>
      </c>
      <c r="C125" s="1866" t="s">
        <v>28</v>
      </c>
      <c r="D125" s="1866" t="s">
        <v>2395</v>
      </c>
      <c r="E125" s="1866" t="s">
        <v>2396</v>
      </c>
      <c r="F125" s="1866" t="s">
        <v>2397</v>
      </c>
      <c r="G125" s="1866" t="s">
        <v>28</v>
      </c>
      <c r="H125" s="1866" t="s">
        <v>28</v>
      </c>
      <c r="I125" s="1866" t="s">
        <v>1046</v>
      </c>
    </row>
    <row customHeight="1" ht="11.25">
      <c r="A126" s="1866" t="s">
        <v>2394</v>
      </c>
      <c r="B126" s="1866" t="s">
        <v>16</v>
      </c>
      <c r="C126" s="1866" t="s">
        <v>2411</v>
      </c>
      <c r="D126" s="1866" t="s">
        <v>2412</v>
      </c>
      <c r="E126" s="1866" t="s">
        <v>2413</v>
      </c>
      <c r="F126" s="1866" t="s">
        <v>2414</v>
      </c>
      <c r="G126" s="1866" t="s">
        <v>28</v>
      </c>
      <c r="H126" s="1866" t="s">
        <v>28</v>
      </c>
      <c r="I126" s="1866" t="s">
        <v>1046</v>
      </c>
    </row>
    <row customHeight="1" ht="11.25">
      <c r="A127" s="1866" t="s">
        <v>2394</v>
      </c>
      <c r="B127" s="1866" t="s">
        <v>16</v>
      </c>
      <c r="C127" s="1866" t="s">
        <v>2415</v>
      </c>
      <c r="D127" s="1866" t="s">
        <v>2416</v>
      </c>
      <c r="E127" s="1866" t="s">
        <v>2417</v>
      </c>
      <c r="F127" s="1866" t="s">
        <v>2418</v>
      </c>
      <c r="G127" s="1866" t="s">
        <v>28</v>
      </c>
      <c r="H127" s="1866" t="s">
        <v>28</v>
      </c>
      <c r="I127" s="1866" t="s">
        <v>1046</v>
      </c>
    </row>
    <row customHeight="1" ht="11.25">
      <c r="A128" s="1866" t="s">
        <v>2394</v>
      </c>
      <c r="B128" s="1866" t="s">
        <v>16</v>
      </c>
      <c r="C128" s="1866" t="s">
        <v>2422</v>
      </c>
      <c r="D128" s="1866" t="s">
        <v>2423</v>
      </c>
      <c r="E128" s="1866" t="s">
        <v>2417</v>
      </c>
      <c r="F128" s="1866" t="s">
        <v>2424</v>
      </c>
      <c r="G128" s="1866" t="s">
        <v>28</v>
      </c>
      <c r="H128" s="1866" t="s">
        <v>28</v>
      </c>
      <c r="I128" s="1866" t="s">
        <v>1046</v>
      </c>
    </row>
    <row customHeight="1" ht="11.25">
      <c r="A129" s="1866" t="s">
        <v>2394</v>
      </c>
      <c r="B129" s="1866" t="s">
        <v>16</v>
      </c>
      <c r="C129" s="1866" t="s">
        <v>2425</v>
      </c>
      <c r="D129" s="1866" t="s">
        <v>2426</v>
      </c>
      <c r="E129" s="1866" t="s">
        <v>2417</v>
      </c>
      <c r="F129" s="1866" t="s">
        <v>2427</v>
      </c>
      <c r="G129" s="1866" t="s">
        <v>28</v>
      </c>
      <c r="H129" s="1866" t="s">
        <v>28</v>
      </c>
      <c r="I129" s="1866" t="s">
        <v>1046</v>
      </c>
    </row>
    <row customHeight="1" ht="11.25">
      <c r="A130" s="1866" t="s">
        <v>2394</v>
      </c>
      <c r="B130" s="1866" t="s">
        <v>16</v>
      </c>
      <c r="C130" s="1866" t="s">
        <v>2432</v>
      </c>
      <c r="D130" s="1866" t="s">
        <v>2433</v>
      </c>
      <c r="E130" s="1866" t="s">
        <v>2434</v>
      </c>
      <c r="F130" s="1866" t="s">
        <v>2435</v>
      </c>
      <c r="G130" s="1866" t="s">
        <v>28</v>
      </c>
      <c r="H130" s="1866" t="s">
        <v>28</v>
      </c>
      <c r="I130" s="1866" t="s">
        <v>1046</v>
      </c>
    </row>
    <row customHeight="1" ht="11.25">
      <c r="A131" s="1866" t="s">
        <v>2394</v>
      </c>
      <c r="B131" s="1866" t="s">
        <v>16</v>
      </c>
      <c r="C131" s="1866" t="s">
        <v>2444</v>
      </c>
      <c r="D131" s="1866" t="s">
        <v>2445</v>
      </c>
      <c r="E131" s="1866" t="s">
        <v>2446</v>
      </c>
      <c r="F131" s="1866" t="s">
        <v>2447</v>
      </c>
      <c r="G131" s="1866" t="s">
        <v>2448</v>
      </c>
      <c r="H131" s="1866" t="s">
        <v>28</v>
      </c>
      <c r="I131" s="1866" t="s">
        <v>1046</v>
      </c>
    </row>
    <row customHeight="1" ht="11.25">
      <c r="A132" s="1866" t="s">
        <v>2394</v>
      </c>
      <c r="B132" s="1866" t="s">
        <v>16</v>
      </c>
      <c r="C132" s="1866" t="s">
        <v>2461</v>
      </c>
      <c r="D132" s="1866" t="s">
        <v>2462</v>
      </c>
      <c r="E132" s="1866" t="s">
        <v>2463</v>
      </c>
      <c r="F132" s="1866" t="s">
        <v>2464</v>
      </c>
      <c r="G132" s="1866" t="s">
        <v>2465</v>
      </c>
      <c r="H132" s="1866" t="s">
        <v>28</v>
      </c>
      <c r="I132" s="1866" t="s">
        <v>1046</v>
      </c>
    </row>
    <row customHeight="1" ht="11.25">
      <c r="A133" s="1866" t="s">
        <v>2394</v>
      </c>
      <c r="B133" s="1866" t="s">
        <v>16</v>
      </c>
      <c r="C133" s="1866" t="s">
        <v>2466</v>
      </c>
      <c r="D133" s="1866" t="s">
        <v>2467</v>
      </c>
      <c r="E133" s="1866" t="s">
        <v>2468</v>
      </c>
      <c r="F133" s="1866" t="s">
        <v>2431</v>
      </c>
      <c r="G133" s="1866" t="s">
        <v>28</v>
      </c>
      <c r="H133" s="1866" t="s">
        <v>28</v>
      </c>
      <c r="I133" s="1866" t="s">
        <v>1046</v>
      </c>
    </row>
    <row customHeight="1" ht="11.25">
      <c r="A134" s="1866" t="s">
        <v>2394</v>
      </c>
      <c r="B134" s="1866" t="s">
        <v>16</v>
      </c>
      <c r="C134" s="1866" t="s">
        <v>2473</v>
      </c>
      <c r="D134" s="1866" t="s">
        <v>2474</v>
      </c>
      <c r="E134" s="1866" t="s">
        <v>2475</v>
      </c>
      <c r="F134" s="1866" t="s">
        <v>2443</v>
      </c>
      <c r="G134" s="1866" t="s">
        <v>2476</v>
      </c>
      <c r="H134" s="1866" t="s">
        <v>28</v>
      </c>
      <c r="I134" s="1866" t="s">
        <v>1046</v>
      </c>
    </row>
    <row customHeight="1" ht="11.25">
      <c r="A135" s="1866" t="s">
        <v>2394</v>
      </c>
      <c r="B135" s="1866" t="s">
        <v>16</v>
      </c>
      <c r="C135" s="1866" t="s">
        <v>2485</v>
      </c>
      <c r="D135" s="1866" t="s">
        <v>2486</v>
      </c>
      <c r="E135" s="1866" t="s">
        <v>2487</v>
      </c>
      <c r="F135" s="1866" t="s">
        <v>2488</v>
      </c>
      <c r="G135" s="1866" t="s">
        <v>28</v>
      </c>
      <c r="H135" s="1866" t="s">
        <v>28</v>
      </c>
      <c r="I135" s="1866" t="s">
        <v>1046</v>
      </c>
    </row>
    <row customHeight="1" ht="11.25">
      <c r="A136" s="1866" t="s">
        <v>2394</v>
      </c>
      <c r="B136" s="1866" t="s">
        <v>16</v>
      </c>
      <c r="C136" s="1866" t="s">
        <v>2503</v>
      </c>
      <c r="D136" s="1866" t="s">
        <v>2504</v>
      </c>
      <c r="E136" s="1866" t="s">
        <v>2501</v>
      </c>
      <c r="F136" s="1866" t="s">
        <v>2505</v>
      </c>
      <c r="G136" s="1866" t="s">
        <v>28</v>
      </c>
      <c r="H136" s="1866" t="s">
        <v>28</v>
      </c>
      <c r="I136" s="1866" t="s">
        <v>1046</v>
      </c>
    </row>
    <row customHeight="1" ht="11.25">
      <c r="A137" s="1866" t="s">
        <v>2394</v>
      </c>
      <c r="B137" s="1866" t="s">
        <v>16</v>
      </c>
      <c r="C137" s="1866" t="s">
        <v>2827</v>
      </c>
      <c r="D137" s="1866" t="s">
        <v>49</v>
      </c>
      <c r="E137" s="1866" t="s">
        <v>52</v>
      </c>
      <c r="F137" s="1866" t="s">
        <v>2828</v>
      </c>
      <c r="G137" s="1866" t="s">
        <v>28</v>
      </c>
      <c r="H137" s="1866" t="s">
        <v>28</v>
      </c>
      <c r="I137" s="1866" t="s">
        <v>1046</v>
      </c>
    </row>
    <row customHeight="1" ht="11.25">
      <c r="A138" s="1866" t="s">
        <v>2394</v>
      </c>
      <c r="B138" s="1866" t="s">
        <v>16</v>
      </c>
      <c r="C138" s="1866" t="s">
        <v>2829</v>
      </c>
      <c r="D138" s="1866" t="s">
        <v>49</v>
      </c>
      <c r="E138" s="1866" t="s">
        <v>52</v>
      </c>
      <c r="F138" s="1866" t="s">
        <v>2830</v>
      </c>
      <c r="G138" s="1866" t="s">
        <v>28</v>
      </c>
      <c r="H138" s="1866" t="s">
        <v>28</v>
      </c>
      <c r="I138" s="1866" t="s">
        <v>1046</v>
      </c>
    </row>
    <row customHeight="1" ht="11.25">
      <c r="A139" s="1866" t="s">
        <v>2394</v>
      </c>
      <c r="B139" s="1866" t="s">
        <v>16</v>
      </c>
      <c r="C139" s="1866" t="s">
        <v>2831</v>
      </c>
      <c r="D139" s="1866" t="s">
        <v>49</v>
      </c>
      <c r="E139" s="1866" t="s">
        <v>52</v>
      </c>
      <c r="F139" s="1866" t="s">
        <v>2832</v>
      </c>
      <c r="G139" s="1866" t="s">
        <v>28</v>
      </c>
      <c r="H139" s="1866" t="s">
        <v>28</v>
      </c>
      <c r="I139" s="1866" t="s">
        <v>1046</v>
      </c>
    </row>
    <row customHeight="1" ht="11.25">
      <c r="A140" s="1866" t="s">
        <v>2394</v>
      </c>
      <c r="B140" s="1866" t="s">
        <v>16</v>
      </c>
      <c r="C140" s="1866" t="s">
        <v>2833</v>
      </c>
      <c r="D140" s="1866" t="s">
        <v>49</v>
      </c>
      <c r="E140" s="1866" t="s">
        <v>52</v>
      </c>
      <c r="F140" s="1866" t="s">
        <v>2834</v>
      </c>
      <c r="G140" s="1866" t="s">
        <v>28</v>
      </c>
      <c r="H140" s="1866" t="s">
        <v>28</v>
      </c>
      <c r="I140" s="1866" t="s">
        <v>1046</v>
      </c>
    </row>
    <row customHeight="1" ht="11.25">
      <c r="A141" s="1866" t="s">
        <v>2394</v>
      </c>
      <c r="B141" s="1866" t="s">
        <v>16</v>
      </c>
      <c r="C141" s="1866" t="s">
        <v>2835</v>
      </c>
      <c r="D141" s="1866" t="s">
        <v>49</v>
      </c>
      <c r="E141" s="1866" t="s">
        <v>52</v>
      </c>
      <c r="F141" s="1866" t="s">
        <v>2836</v>
      </c>
      <c r="G141" s="1866" t="s">
        <v>28</v>
      </c>
      <c r="H141" s="1866" t="s">
        <v>28</v>
      </c>
      <c r="I141" s="1866" t="s">
        <v>1046</v>
      </c>
    </row>
    <row customHeight="1" ht="11.25">
      <c r="A142" s="1866" t="s">
        <v>2394</v>
      </c>
      <c r="B142" s="1866" t="s">
        <v>16</v>
      </c>
      <c r="C142" s="1866" t="s">
        <v>2837</v>
      </c>
      <c r="D142" s="1866" t="s">
        <v>49</v>
      </c>
      <c r="E142" s="1866" t="s">
        <v>52</v>
      </c>
      <c r="F142" s="1866" t="s">
        <v>2838</v>
      </c>
      <c r="G142" s="1866" t="s">
        <v>28</v>
      </c>
      <c r="H142" s="1866" t="s">
        <v>28</v>
      </c>
      <c r="I142" s="1866" t="s">
        <v>1046</v>
      </c>
    </row>
    <row customHeight="1" ht="11.25">
      <c r="A143" s="1866" t="s">
        <v>2394</v>
      </c>
      <c r="B143" s="1866" t="s">
        <v>16</v>
      </c>
      <c r="C143" s="1866" t="s">
        <v>2839</v>
      </c>
      <c r="D143" s="1866" t="s">
        <v>49</v>
      </c>
      <c r="E143" s="1866" t="s">
        <v>52</v>
      </c>
      <c r="F143" s="1866" t="s">
        <v>2840</v>
      </c>
      <c r="G143" s="1866" t="s">
        <v>28</v>
      </c>
      <c r="H143" s="1866" t="s">
        <v>28</v>
      </c>
      <c r="I143" s="1866" t="s">
        <v>1046</v>
      </c>
    </row>
    <row customHeight="1" ht="11.25">
      <c r="A144" s="1866" t="s">
        <v>2394</v>
      </c>
      <c r="B144" s="1866" t="s">
        <v>16</v>
      </c>
      <c r="C144" s="1866" t="s">
        <v>2841</v>
      </c>
      <c r="D144" s="1866" t="s">
        <v>49</v>
      </c>
      <c r="E144" s="1866" t="s">
        <v>52</v>
      </c>
      <c r="F144" s="1866" t="s">
        <v>2842</v>
      </c>
      <c r="G144" s="1866" t="s">
        <v>28</v>
      </c>
      <c r="H144" s="1866" t="s">
        <v>28</v>
      </c>
      <c r="I144" s="1866" t="s">
        <v>1046</v>
      </c>
    </row>
    <row customHeight="1" ht="11.25">
      <c r="A145" s="1866" t="s">
        <v>2394</v>
      </c>
      <c r="B145" s="1866" t="s">
        <v>16</v>
      </c>
      <c r="C145" s="1866" t="s">
        <v>13</v>
      </c>
      <c r="D145" s="1866" t="s">
        <v>49</v>
      </c>
      <c r="E145" s="1866" t="s">
        <v>52</v>
      </c>
      <c r="F145" s="1866" t="s">
        <v>54</v>
      </c>
      <c r="G145" s="1866" t="s">
        <v>28</v>
      </c>
      <c r="H145" s="1866" t="s">
        <v>28</v>
      </c>
      <c r="I145" s="1866" t="s">
        <v>1046</v>
      </c>
    </row>
    <row customHeight="1" ht="11.25">
      <c r="A146" s="1866" t="s">
        <v>2394</v>
      </c>
      <c r="B146" s="1866" t="s">
        <v>16</v>
      </c>
      <c r="C146" s="1866" t="s">
        <v>2843</v>
      </c>
      <c r="D146" s="1866" t="s">
        <v>2844</v>
      </c>
      <c r="E146" s="1866" t="s">
        <v>52</v>
      </c>
      <c r="F146" s="1866" t="s">
        <v>2845</v>
      </c>
      <c r="G146" s="1866" t="s">
        <v>28</v>
      </c>
      <c r="H146" s="1866" t="s">
        <v>28</v>
      </c>
      <c r="I146" s="1866" t="s">
        <v>1046</v>
      </c>
    </row>
    <row customHeight="1" ht="11.25">
      <c r="A147" s="1866" t="s">
        <v>2394</v>
      </c>
      <c r="B147" s="1866" t="s">
        <v>16</v>
      </c>
      <c r="C147" s="1866" t="s">
        <v>2558</v>
      </c>
      <c r="D147" s="1866" t="s">
        <v>2559</v>
      </c>
      <c r="E147" s="1866" t="s">
        <v>2560</v>
      </c>
      <c r="F147" s="1866" t="s">
        <v>2431</v>
      </c>
      <c r="G147" s="1866" t="s">
        <v>28</v>
      </c>
      <c r="H147" s="1866" t="s">
        <v>28</v>
      </c>
      <c r="I147" s="1866" t="s">
        <v>1046</v>
      </c>
    </row>
    <row customHeight="1" ht="11.25">
      <c r="A148" s="1866" t="s">
        <v>2394</v>
      </c>
      <c r="B148" s="1866" t="s">
        <v>16</v>
      </c>
      <c r="C148" s="1866" t="s">
        <v>2565</v>
      </c>
      <c r="D148" s="1866" t="s">
        <v>2566</v>
      </c>
      <c r="E148" s="1866" t="s">
        <v>2567</v>
      </c>
      <c r="F148" s="1866" t="s">
        <v>2439</v>
      </c>
      <c r="G148" s="1866" t="s">
        <v>28</v>
      </c>
      <c r="H148" s="1866" t="s">
        <v>28</v>
      </c>
      <c r="I148" s="1866" t="s">
        <v>1046</v>
      </c>
    </row>
    <row customHeight="1" ht="11.25">
      <c r="A149" s="1866" t="s">
        <v>2394</v>
      </c>
      <c r="B149" s="1866" t="s">
        <v>16</v>
      </c>
      <c r="C149" s="1866" t="s">
        <v>2585</v>
      </c>
      <c r="D149" s="1866" t="s">
        <v>2586</v>
      </c>
      <c r="E149" s="1866" t="s">
        <v>2587</v>
      </c>
      <c r="F149" s="1866" t="s">
        <v>54</v>
      </c>
      <c r="G149" s="1866" t="s">
        <v>28</v>
      </c>
      <c r="H149" s="1866" t="s">
        <v>28</v>
      </c>
      <c r="I149" s="1866" t="s">
        <v>1046</v>
      </c>
    </row>
    <row customHeight="1" ht="11.25">
      <c r="A150" s="1866" t="s">
        <v>2394</v>
      </c>
      <c r="B150" s="1866" t="s">
        <v>16</v>
      </c>
      <c r="C150" s="1866" t="s">
        <v>2609</v>
      </c>
      <c r="D150" s="1866" t="s">
        <v>2610</v>
      </c>
      <c r="E150" s="1866" t="s">
        <v>2501</v>
      </c>
      <c r="F150" s="1866" t="s">
        <v>2611</v>
      </c>
      <c r="G150" s="1866" t="s">
        <v>28</v>
      </c>
      <c r="H150" s="1866" t="s">
        <v>28</v>
      </c>
      <c r="I150" s="1866" t="s">
        <v>1046</v>
      </c>
    </row>
    <row customHeight="1" ht="11.25">
      <c r="A151" s="1866" t="s">
        <v>2394</v>
      </c>
      <c r="B151" s="1866" t="s">
        <v>16</v>
      </c>
      <c r="C151" s="1866" t="s">
        <v>2657</v>
      </c>
      <c r="D151" s="1866" t="s">
        <v>2658</v>
      </c>
      <c r="E151" s="1866" t="s">
        <v>2659</v>
      </c>
      <c r="F151" s="1866" t="s">
        <v>2660</v>
      </c>
      <c r="G151" s="1866" t="s">
        <v>2661</v>
      </c>
      <c r="H151" s="1866" t="s">
        <v>28</v>
      </c>
      <c r="I151" s="1866" t="s">
        <v>1046</v>
      </c>
    </row>
    <row customHeight="1" ht="11.25">
      <c r="A152" s="1866" t="s">
        <v>2394</v>
      </c>
      <c r="B152" s="1866" t="s">
        <v>16</v>
      </c>
      <c r="C152" s="1866" t="s">
        <v>2668</v>
      </c>
      <c r="D152" s="1866" t="s">
        <v>2669</v>
      </c>
      <c r="E152" s="1866" t="s">
        <v>2670</v>
      </c>
      <c r="F152" s="1866" t="s">
        <v>2671</v>
      </c>
      <c r="G152" s="1866" t="s">
        <v>28</v>
      </c>
      <c r="H152" s="1866" t="s">
        <v>28</v>
      </c>
      <c r="I152" s="1866" t="s">
        <v>1046</v>
      </c>
    </row>
    <row customHeight="1" ht="11.25">
      <c r="A153" s="1866" t="s">
        <v>2394</v>
      </c>
      <c r="B153" s="1866" t="s">
        <v>16</v>
      </c>
      <c r="C153" s="1866" t="s">
        <v>2715</v>
      </c>
      <c r="D153" s="1866" t="s">
        <v>2716</v>
      </c>
      <c r="E153" s="1866" t="s">
        <v>2717</v>
      </c>
      <c r="F153" s="1866" t="s">
        <v>2409</v>
      </c>
      <c r="G153" s="1866" t="s">
        <v>28</v>
      </c>
      <c r="H153" s="1866" t="s">
        <v>28</v>
      </c>
      <c r="I153" s="1866" t="s">
        <v>1046</v>
      </c>
    </row>
    <row customHeight="1" ht="11.25">
      <c r="A154" s="1866" t="s">
        <v>2394</v>
      </c>
      <c r="B154" s="1866" t="s">
        <v>16</v>
      </c>
      <c r="C154" s="1866" t="s">
        <v>2765</v>
      </c>
      <c r="D154" s="1866" t="s">
        <v>2766</v>
      </c>
      <c r="E154" s="1866" t="s">
        <v>2767</v>
      </c>
      <c r="F154" s="1866" t="s">
        <v>2397</v>
      </c>
      <c r="G154" s="1866" t="s">
        <v>28</v>
      </c>
      <c r="H154" s="1866" t="s">
        <v>28</v>
      </c>
      <c r="I154" s="1866" t="s">
        <v>1046</v>
      </c>
    </row>
    <row customHeight="1" ht="11.25">
      <c r="A155" s="1866" t="s">
        <v>2394</v>
      </c>
      <c r="B155" s="1866" t="s">
        <v>16</v>
      </c>
      <c r="C155" s="1866" t="s">
        <v>2771</v>
      </c>
      <c r="D155" s="1866" t="s">
        <v>2772</v>
      </c>
      <c r="E155" s="1866" t="s">
        <v>2773</v>
      </c>
      <c r="F155" s="1866" t="s">
        <v>2605</v>
      </c>
      <c r="G155" s="1866" t="s">
        <v>28</v>
      </c>
      <c r="H155" s="1866" t="s">
        <v>28</v>
      </c>
      <c r="I155" s="1866" t="s">
        <v>1046</v>
      </c>
    </row>
    <row customHeight="1" ht="11.25">
      <c r="A156" s="1866" t="s">
        <v>2394</v>
      </c>
      <c r="B156" s="1866" t="s">
        <v>16</v>
      </c>
      <c r="C156" s="1866" t="s">
        <v>2774</v>
      </c>
      <c r="D156" s="1866" t="s">
        <v>2775</v>
      </c>
      <c r="E156" s="1866" t="s">
        <v>2776</v>
      </c>
      <c r="F156" s="1866" t="s">
        <v>2777</v>
      </c>
      <c r="G156" s="1866" t="s">
        <v>2778</v>
      </c>
      <c r="H156" s="1866" t="s">
        <v>28</v>
      </c>
      <c r="I156" s="1866" t="s">
        <v>1046</v>
      </c>
    </row>
    <row customHeight="1" ht="11.25">
      <c r="A157" s="1866" t="s">
        <v>2394</v>
      </c>
      <c r="B157" s="1866" t="s">
        <v>16</v>
      </c>
      <c r="C157" s="1866" t="s">
        <v>2810</v>
      </c>
      <c r="D157" s="1866" t="s">
        <v>2811</v>
      </c>
      <c r="E157" s="1866" t="s">
        <v>2812</v>
      </c>
      <c r="F157" s="1866" t="s">
        <v>2605</v>
      </c>
      <c r="G157" s="1866" t="s">
        <v>28</v>
      </c>
      <c r="H157" s="1866" t="s">
        <v>28</v>
      </c>
      <c r="I157" s="1866" t="s">
        <v>1046</v>
      </c>
    </row>
    <row customHeight="1" ht="11.25">
      <c r="A158" s="1866" t="s">
        <v>2394</v>
      </c>
      <c r="B158" s="1866" t="s">
        <v>16</v>
      </c>
      <c r="C158" s="1866" t="s">
        <v>2821</v>
      </c>
      <c r="D158" s="1866" t="s">
        <v>2822</v>
      </c>
      <c r="E158" s="1866" t="s">
        <v>2823</v>
      </c>
      <c r="F158" s="1866" t="s">
        <v>2431</v>
      </c>
      <c r="G158" s="1866" t="s">
        <v>28</v>
      </c>
      <c r="H158" s="1866" t="s">
        <v>28</v>
      </c>
      <c r="I158" s="1866" t="s">
        <v>1046</v>
      </c>
    </row>
    <row customHeight="1" ht="11.25">
      <c r="A159" s="1866" t="s">
        <v>2394</v>
      </c>
      <c r="B159" s="1866" t="s">
        <v>16</v>
      </c>
      <c r="C159" s="1866" t="s">
        <v>28</v>
      </c>
      <c r="D159" s="1866" t="s">
        <v>2395</v>
      </c>
      <c r="E159" s="1866" t="s">
        <v>2396</v>
      </c>
      <c r="F159" s="1866" t="s">
        <v>2397</v>
      </c>
      <c r="G159" s="1866" t="s">
        <v>28</v>
      </c>
      <c r="H159" s="1866" t="s">
        <v>28</v>
      </c>
      <c r="I159" s="1866" t="s">
        <v>1006</v>
      </c>
    </row>
    <row customHeight="1" ht="11.25">
      <c r="A160" s="1866" t="s">
        <v>2394</v>
      </c>
      <c r="B160" s="1866" t="s">
        <v>16</v>
      </c>
      <c r="C160" s="1866" t="s">
        <v>2398</v>
      </c>
      <c r="D160" s="1866" t="s">
        <v>2399</v>
      </c>
      <c r="E160" s="1866" t="s">
        <v>2400</v>
      </c>
      <c r="F160" s="1866" t="s">
        <v>2401</v>
      </c>
      <c r="G160" s="1866" t="s">
        <v>28</v>
      </c>
      <c r="H160" s="1866" t="s">
        <v>28</v>
      </c>
      <c r="I160" s="1866" t="s">
        <v>1006</v>
      </c>
    </row>
    <row customHeight="1" ht="11.25">
      <c r="A161" s="1866" t="s">
        <v>2394</v>
      </c>
      <c r="B161" s="1866" t="s">
        <v>16</v>
      </c>
      <c r="C161" s="1866" t="s">
        <v>2411</v>
      </c>
      <c r="D161" s="1866" t="s">
        <v>2412</v>
      </c>
      <c r="E161" s="1866" t="s">
        <v>2413</v>
      </c>
      <c r="F161" s="1866" t="s">
        <v>2414</v>
      </c>
      <c r="G161" s="1866" t="s">
        <v>28</v>
      </c>
      <c r="H161" s="1866" t="s">
        <v>28</v>
      </c>
      <c r="I161" s="1866" t="s">
        <v>1006</v>
      </c>
    </row>
    <row customHeight="1" ht="11.25">
      <c r="A162" s="1866" t="s">
        <v>2394</v>
      </c>
      <c r="B162" s="1866" t="s">
        <v>16</v>
      </c>
      <c r="C162" s="1866" t="s">
        <v>2415</v>
      </c>
      <c r="D162" s="1866" t="s">
        <v>2416</v>
      </c>
      <c r="E162" s="1866" t="s">
        <v>2417</v>
      </c>
      <c r="F162" s="1866" t="s">
        <v>2418</v>
      </c>
      <c r="G162" s="1866" t="s">
        <v>28</v>
      </c>
      <c r="H162" s="1866" t="s">
        <v>28</v>
      </c>
      <c r="I162" s="1866" t="s">
        <v>1006</v>
      </c>
    </row>
    <row customHeight="1" ht="11.25">
      <c r="A163" s="1866" t="s">
        <v>2394</v>
      </c>
      <c r="B163" s="1866" t="s">
        <v>16</v>
      </c>
      <c r="C163" s="1866" t="s">
        <v>2419</v>
      </c>
      <c r="D163" s="1866" t="s">
        <v>2416</v>
      </c>
      <c r="E163" s="1866" t="s">
        <v>2417</v>
      </c>
      <c r="F163" s="1866" t="s">
        <v>2420</v>
      </c>
      <c r="G163" s="1866" t="s">
        <v>2421</v>
      </c>
      <c r="H163" s="1866" t="s">
        <v>28</v>
      </c>
      <c r="I163" s="1866" t="s">
        <v>1006</v>
      </c>
    </row>
    <row customHeight="1" ht="11.25">
      <c r="A164" s="1866" t="s">
        <v>2394</v>
      </c>
      <c r="B164" s="1866" t="s">
        <v>16</v>
      </c>
      <c r="C164" s="1866" t="s">
        <v>2425</v>
      </c>
      <c r="D164" s="1866" t="s">
        <v>2426</v>
      </c>
      <c r="E164" s="1866" t="s">
        <v>2417</v>
      </c>
      <c r="F164" s="1866" t="s">
        <v>2427</v>
      </c>
      <c r="G164" s="1866" t="s">
        <v>28</v>
      </c>
      <c r="H164" s="1866" t="s">
        <v>28</v>
      </c>
      <c r="I164" s="1866" t="s">
        <v>1006</v>
      </c>
    </row>
    <row customHeight="1" ht="11.25">
      <c r="A165" s="1866" t="s">
        <v>2394</v>
      </c>
      <c r="B165" s="1866" t="s">
        <v>16</v>
      </c>
      <c r="C165" s="1866" t="s">
        <v>2428</v>
      </c>
      <c r="D165" s="1866" t="s">
        <v>2429</v>
      </c>
      <c r="E165" s="1866" t="s">
        <v>2430</v>
      </c>
      <c r="F165" s="1866" t="s">
        <v>2431</v>
      </c>
      <c r="G165" s="1866" t="s">
        <v>28</v>
      </c>
      <c r="H165" s="1866" t="s">
        <v>28</v>
      </c>
      <c r="I165" s="1866" t="s">
        <v>1006</v>
      </c>
    </row>
    <row customHeight="1" ht="11.25">
      <c r="A166" s="1866" t="s">
        <v>2394</v>
      </c>
      <c r="B166" s="1866" t="s">
        <v>16</v>
      </c>
      <c r="C166" s="1866" t="s">
        <v>2440</v>
      </c>
      <c r="D166" s="1866" t="s">
        <v>2441</v>
      </c>
      <c r="E166" s="1866" t="s">
        <v>2442</v>
      </c>
      <c r="F166" s="1866" t="s">
        <v>2443</v>
      </c>
      <c r="G166" s="1866" t="s">
        <v>28</v>
      </c>
      <c r="H166" s="1866" t="s">
        <v>28</v>
      </c>
      <c r="I166" s="1866" t="s">
        <v>1006</v>
      </c>
    </row>
    <row customHeight="1" ht="11.25">
      <c r="A167" s="1866" t="s">
        <v>2394</v>
      </c>
      <c r="B167" s="1866" t="s">
        <v>16</v>
      </c>
      <c r="C167" s="1866" t="s">
        <v>2846</v>
      </c>
      <c r="D167" s="1866" t="s">
        <v>2847</v>
      </c>
      <c r="E167" s="1866" t="s">
        <v>2848</v>
      </c>
      <c r="F167" s="1866" t="s">
        <v>2643</v>
      </c>
      <c r="G167" s="1866" t="s">
        <v>2849</v>
      </c>
      <c r="H167" s="1866" t="s">
        <v>28</v>
      </c>
      <c r="I167" s="1866" t="s">
        <v>1006</v>
      </c>
    </row>
    <row customHeight="1" ht="11.25">
      <c r="A168" s="1866" t="s">
        <v>2394</v>
      </c>
      <c r="B168" s="1866" t="s">
        <v>16</v>
      </c>
      <c r="C168" s="1866" t="s">
        <v>2449</v>
      </c>
      <c r="D168" s="1866" t="s">
        <v>2450</v>
      </c>
      <c r="E168" s="1866" t="s">
        <v>2451</v>
      </c>
      <c r="F168" s="1866" t="s">
        <v>2405</v>
      </c>
      <c r="G168" s="1866" t="s">
        <v>28</v>
      </c>
      <c r="H168" s="1866" t="s">
        <v>28</v>
      </c>
      <c r="I168" s="1866" t="s">
        <v>1006</v>
      </c>
    </row>
    <row customHeight="1" ht="11.25">
      <c r="A169" s="1866" t="s">
        <v>2394</v>
      </c>
      <c r="B169" s="1866" t="s">
        <v>16</v>
      </c>
      <c r="C169" s="1866" t="s">
        <v>2850</v>
      </c>
      <c r="D169" s="1866" t="s">
        <v>2851</v>
      </c>
      <c r="E169" s="1866" t="s">
        <v>2852</v>
      </c>
      <c r="F169" s="1866" t="s">
        <v>2431</v>
      </c>
      <c r="G169" s="1866" t="s">
        <v>2853</v>
      </c>
      <c r="H169" s="1866" t="s">
        <v>28</v>
      </c>
      <c r="I169" s="1866" t="s">
        <v>1006</v>
      </c>
    </row>
    <row customHeight="1" ht="11.25">
      <c r="A170" s="1866" t="s">
        <v>2394</v>
      </c>
      <c r="B170" s="1866" t="s">
        <v>16</v>
      </c>
      <c r="C170" s="1866" t="s">
        <v>2461</v>
      </c>
      <c r="D170" s="1866" t="s">
        <v>2462</v>
      </c>
      <c r="E170" s="1866" t="s">
        <v>2463</v>
      </c>
      <c r="F170" s="1866" t="s">
        <v>2464</v>
      </c>
      <c r="G170" s="1866" t="s">
        <v>2465</v>
      </c>
      <c r="H170" s="1866" t="s">
        <v>28</v>
      </c>
      <c r="I170" s="1866" t="s">
        <v>1006</v>
      </c>
    </row>
    <row customHeight="1" ht="11.25">
      <c r="A171" s="1866" t="s">
        <v>2394</v>
      </c>
      <c r="B171" s="1866" t="s">
        <v>16</v>
      </c>
      <c r="C171" s="1866" t="s">
        <v>2854</v>
      </c>
      <c r="D171" s="1866" t="s">
        <v>2855</v>
      </c>
      <c r="E171" s="1866" t="s">
        <v>2856</v>
      </c>
      <c r="F171" s="1866" t="s">
        <v>2405</v>
      </c>
      <c r="G171" s="1866" t="s">
        <v>28</v>
      </c>
      <c r="H171" s="1866" t="s">
        <v>28</v>
      </c>
      <c r="I171" s="1866" t="s">
        <v>1006</v>
      </c>
    </row>
    <row customHeight="1" ht="11.25">
      <c r="A172" s="1866" t="s">
        <v>2394</v>
      </c>
      <c r="B172" s="1866" t="s">
        <v>16</v>
      </c>
      <c r="C172" s="1866" t="s">
        <v>2469</v>
      </c>
      <c r="D172" s="1866" t="s">
        <v>2470</v>
      </c>
      <c r="E172" s="1866" t="s">
        <v>2471</v>
      </c>
      <c r="F172" s="1866" t="s">
        <v>2472</v>
      </c>
      <c r="G172" s="1866" t="s">
        <v>28</v>
      </c>
      <c r="H172" s="1866" t="s">
        <v>28</v>
      </c>
      <c r="I172" s="1866" t="s">
        <v>1006</v>
      </c>
    </row>
    <row customHeight="1" ht="11.25">
      <c r="A173" s="1866" t="s">
        <v>2394</v>
      </c>
      <c r="B173" s="1866" t="s">
        <v>16</v>
      </c>
      <c r="C173" s="1866" t="s">
        <v>2857</v>
      </c>
      <c r="D173" s="1866" t="s">
        <v>2858</v>
      </c>
      <c r="E173" s="1866" t="s">
        <v>2859</v>
      </c>
      <c r="F173" s="1866" t="s">
        <v>2820</v>
      </c>
      <c r="G173" s="1866" t="s">
        <v>2860</v>
      </c>
      <c r="H173" s="1866" t="s">
        <v>28</v>
      </c>
      <c r="I173" s="1866" t="s">
        <v>1006</v>
      </c>
    </row>
    <row customHeight="1" ht="11.25">
      <c r="A174" s="1866" t="s">
        <v>2394</v>
      </c>
      <c r="B174" s="1866" t="s">
        <v>16</v>
      </c>
      <c r="C174" s="1866" t="s">
        <v>2481</v>
      </c>
      <c r="D174" s="1866" t="s">
        <v>2482</v>
      </c>
      <c r="E174" s="1866" t="s">
        <v>2483</v>
      </c>
      <c r="F174" s="1866" t="s">
        <v>2397</v>
      </c>
      <c r="G174" s="1866" t="s">
        <v>2484</v>
      </c>
      <c r="H174" s="1866" t="s">
        <v>28</v>
      </c>
      <c r="I174" s="1866" t="s">
        <v>1006</v>
      </c>
    </row>
    <row customHeight="1" ht="11.25">
      <c r="A175" s="1866" t="s">
        <v>2394</v>
      </c>
      <c r="B175" s="1866" t="s">
        <v>16</v>
      </c>
      <c r="C175" s="1866" t="s">
        <v>2861</v>
      </c>
      <c r="D175" s="1866" t="s">
        <v>2862</v>
      </c>
      <c r="E175" s="1866" t="s">
        <v>2863</v>
      </c>
      <c r="F175" s="1866" t="s">
        <v>2864</v>
      </c>
      <c r="G175" s="1866" t="s">
        <v>28</v>
      </c>
      <c r="H175" s="1866" t="s">
        <v>28</v>
      </c>
      <c r="I175" s="1866" t="s">
        <v>1006</v>
      </c>
    </row>
    <row customHeight="1" ht="11.25">
      <c r="A176" s="1866" t="s">
        <v>2394</v>
      </c>
      <c r="B176" s="1866" t="s">
        <v>16</v>
      </c>
      <c r="C176" s="1866" t="s">
        <v>2503</v>
      </c>
      <c r="D176" s="1866" t="s">
        <v>2504</v>
      </c>
      <c r="E176" s="1866" t="s">
        <v>2501</v>
      </c>
      <c r="F176" s="1866" t="s">
        <v>2505</v>
      </c>
      <c r="G176" s="1866" t="s">
        <v>28</v>
      </c>
      <c r="H176" s="1866" t="s">
        <v>28</v>
      </c>
      <c r="I176" s="1866" t="s">
        <v>1006</v>
      </c>
    </row>
    <row customHeight="1" ht="11.25">
      <c r="A177" s="1866" t="s">
        <v>2394</v>
      </c>
      <c r="B177" s="1866" t="s">
        <v>16</v>
      </c>
      <c r="C177" s="1866" t="s">
        <v>2865</v>
      </c>
      <c r="D177" s="1866" t="s">
        <v>2866</v>
      </c>
      <c r="E177" s="1866" t="s">
        <v>2867</v>
      </c>
      <c r="F177" s="1866" t="s">
        <v>2540</v>
      </c>
      <c r="G177" s="1866" t="s">
        <v>28</v>
      </c>
      <c r="H177" s="1866" t="s">
        <v>2868</v>
      </c>
      <c r="I177" s="1866" t="s">
        <v>1006</v>
      </c>
    </row>
    <row customHeight="1" ht="11.25">
      <c r="A178" s="1866" t="s">
        <v>2394</v>
      </c>
      <c r="B178" s="1866" t="s">
        <v>16</v>
      </c>
      <c r="C178" s="1866" t="s">
        <v>2515</v>
      </c>
      <c r="D178" s="1866" t="s">
        <v>2516</v>
      </c>
      <c r="E178" s="1866" t="s">
        <v>2517</v>
      </c>
      <c r="F178" s="1866" t="s">
        <v>2455</v>
      </c>
      <c r="G178" s="1866" t="s">
        <v>28</v>
      </c>
      <c r="H178" s="1866" t="s">
        <v>28</v>
      </c>
      <c r="I178" s="1866" t="s">
        <v>1006</v>
      </c>
    </row>
    <row customHeight="1" ht="11.25">
      <c r="A179" s="1866" t="s">
        <v>2394</v>
      </c>
      <c r="B179" s="1866" t="s">
        <v>16</v>
      </c>
      <c r="C179" s="1866" t="s">
        <v>2869</v>
      </c>
      <c r="D179" s="1866" t="s">
        <v>2870</v>
      </c>
      <c r="E179" s="1866" t="s">
        <v>2871</v>
      </c>
      <c r="F179" s="1866" t="s">
        <v>728</v>
      </c>
      <c r="G179" s="1866" t="s">
        <v>28</v>
      </c>
      <c r="H179" s="1866" t="s">
        <v>28</v>
      </c>
      <c r="I179" s="1866" t="s">
        <v>1006</v>
      </c>
    </row>
    <row customHeight="1" ht="11.25">
      <c r="A180" s="1866" t="s">
        <v>2394</v>
      </c>
      <c r="B180" s="1866" t="s">
        <v>16</v>
      </c>
      <c r="C180" s="1866" t="s">
        <v>2872</v>
      </c>
      <c r="D180" s="1866" t="s">
        <v>2873</v>
      </c>
      <c r="E180" s="1866" t="s">
        <v>2874</v>
      </c>
      <c r="F180" s="1866" t="s">
        <v>728</v>
      </c>
      <c r="G180" s="1866" t="s">
        <v>28</v>
      </c>
      <c r="H180" s="1866" t="s">
        <v>28</v>
      </c>
      <c r="I180" s="1866" t="s">
        <v>1006</v>
      </c>
    </row>
    <row customHeight="1" ht="11.25">
      <c r="A181" s="1866" t="s">
        <v>2394</v>
      </c>
      <c r="B181" s="1866" t="s">
        <v>16</v>
      </c>
      <c r="C181" s="1866" t="s">
        <v>2875</v>
      </c>
      <c r="D181" s="1866" t="s">
        <v>2876</v>
      </c>
      <c r="E181" s="1866" t="s">
        <v>2877</v>
      </c>
      <c r="F181" s="1866" t="s">
        <v>728</v>
      </c>
      <c r="G181" s="1866" t="s">
        <v>28</v>
      </c>
      <c r="H181" s="1866" t="s">
        <v>28</v>
      </c>
      <c r="I181" s="1866" t="s">
        <v>1006</v>
      </c>
    </row>
    <row customHeight="1" ht="11.25">
      <c r="A182" s="1866" t="s">
        <v>2394</v>
      </c>
      <c r="B182" s="1866" t="s">
        <v>16</v>
      </c>
      <c r="C182" s="1866" t="s">
        <v>2541</v>
      </c>
      <c r="D182" s="1866" t="s">
        <v>2542</v>
      </c>
      <c r="E182" s="1866" t="s">
        <v>2543</v>
      </c>
      <c r="F182" s="1866" t="s">
        <v>2509</v>
      </c>
      <c r="G182" s="1866" t="s">
        <v>28</v>
      </c>
      <c r="H182" s="1866" t="s">
        <v>28</v>
      </c>
      <c r="I182" s="1866" t="s">
        <v>1006</v>
      </c>
    </row>
    <row customHeight="1" ht="11.25">
      <c r="A183" s="1866" t="s">
        <v>2394</v>
      </c>
      <c r="B183" s="1866" t="s">
        <v>16</v>
      </c>
      <c r="C183" s="1866" t="s">
        <v>2878</v>
      </c>
      <c r="D183" s="1866" t="s">
        <v>49</v>
      </c>
      <c r="E183" s="1866" t="s">
        <v>52</v>
      </c>
      <c r="F183" s="1866" t="s">
        <v>2879</v>
      </c>
      <c r="G183" s="1866" t="s">
        <v>28</v>
      </c>
      <c r="H183" s="1866" t="s">
        <v>28</v>
      </c>
      <c r="I183" s="1866" t="s">
        <v>1006</v>
      </c>
    </row>
    <row customHeight="1" ht="11.25">
      <c r="A184" s="1866" t="s">
        <v>2394</v>
      </c>
      <c r="B184" s="1866" t="s">
        <v>16</v>
      </c>
      <c r="C184" s="1866" t="s">
        <v>2827</v>
      </c>
      <c r="D184" s="1866" t="s">
        <v>49</v>
      </c>
      <c r="E184" s="1866" t="s">
        <v>52</v>
      </c>
      <c r="F184" s="1866" t="s">
        <v>2828</v>
      </c>
      <c r="G184" s="1866" t="s">
        <v>28</v>
      </c>
      <c r="H184" s="1866" t="s">
        <v>28</v>
      </c>
      <c r="I184" s="1866" t="s">
        <v>1006</v>
      </c>
    </row>
    <row customHeight="1" ht="11.25">
      <c r="A185" s="1866" t="s">
        <v>2394</v>
      </c>
      <c r="B185" s="1866" t="s">
        <v>16</v>
      </c>
      <c r="C185" s="1866" t="s">
        <v>2829</v>
      </c>
      <c r="D185" s="1866" t="s">
        <v>49</v>
      </c>
      <c r="E185" s="1866" t="s">
        <v>52</v>
      </c>
      <c r="F185" s="1866" t="s">
        <v>2830</v>
      </c>
      <c r="G185" s="1866" t="s">
        <v>28</v>
      </c>
      <c r="H185" s="1866" t="s">
        <v>28</v>
      </c>
      <c r="I185" s="1866" t="s">
        <v>1006</v>
      </c>
    </row>
    <row customHeight="1" ht="11.25">
      <c r="A186" s="1866" t="s">
        <v>2394</v>
      </c>
      <c r="B186" s="1866" t="s">
        <v>16</v>
      </c>
      <c r="C186" s="1866" t="s">
        <v>2831</v>
      </c>
      <c r="D186" s="1866" t="s">
        <v>49</v>
      </c>
      <c r="E186" s="1866" t="s">
        <v>52</v>
      </c>
      <c r="F186" s="1866" t="s">
        <v>2832</v>
      </c>
      <c r="G186" s="1866" t="s">
        <v>28</v>
      </c>
      <c r="H186" s="1866" t="s">
        <v>28</v>
      </c>
      <c r="I186" s="1866" t="s">
        <v>1006</v>
      </c>
    </row>
    <row customHeight="1" ht="11.25">
      <c r="A187" s="1866" t="s">
        <v>2394</v>
      </c>
      <c r="B187" s="1866" t="s">
        <v>16</v>
      </c>
      <c r="C187" s="1866" t="s">
        <v>2880</v>
      </c>
      <c r="D187" s="1866" t="s">
        <v>49</v>
      </c>
      <c r="E187" s="1866" t="s">
        <v>52</v>
      </c>
      <c r="F187" s="1866" t="s">
        <v>2881</v>
      </c>
      <c r="G187" s="1866" t="s">
        <v>28</v>
      </c>
      <c r="H187" s="1866" t="s">
        <v>28</v>
      </c>
      <c r="I187" s="1866" t="s">
        <v>1006</v>
      </c>
    </row>
    <row customHeight="1" ht="11.25">
      <c r="A188" s="1866" t="s">
        <v>2394</v>
      </c>
      <c r="B188" s="1866" t="s">
        <v>16</v>
      </c>
      <c r="C188" s="1866" t="s">
        <v>2833</v>
      </c>
      <c r="D188" s="1866" t="s">
        <v>49</v>
      </c>
      <c r="E188" s="1866" t="s">
        <v>52</v>
      </c>
      <c r="F188" s="1866" t="s">
        <v>2834</v>
      </c>
      <c r="G188" s="1866" t="s">
        <v>28</v>
      </c>
      <c r="H188" s="1866" t="s">
        <v>28</v>
      </c>
      <c r="I188" s="1866" t="s">
        <v>1006</v>
      </c>
    </row>
    <row customHeight="1" ht="11.25">
      <c r="A189" s="1866" t="s">
        <v>2394</v>
      </c>
      <c r="B189" s="1866" t="s">
        <v>16</v>
      </c>
      <c r="C189" s="1866" t="s">
        <v>2835</v>
      </c>
      <c r="D189" s="1866" t="s">
        <v>49</v>
      </c>
      <c r="E189" s="1866" t="s">
        <v>52</v>
      </c>
      <c r="F189" s="1866" t="s">
        <v>2836</v>
      </c>
      <c r="G189" s="1866" t="s">
        <v>28</v>
      </c>
      <c r="H189" s="1866" t="s">
        <v>28</v>
      </c>
      <c r="I189" s="1866" t="s">
        <v>1006</v>
      </c>
    </row>
    <row customHeight="1" ht="11.25">
      <c r="A190" s="1866" t="s">
        <v>2394</v>
      </c>
      <c r="B190" s="1866" t="s">
        <v>16</v>
      </c>
      <c r="C190" s="1866" t="s">
        <v>2837</v>
      </c>
      <c r="D190" s="1866" t="s">
        <v>49</v>
      </c>
      <c r="E190" s="1866" t="s">
        <v>52</v>
      </c>
      <c r="F190" s="1866" t="s">
        <v>2838</v>
      </c>
      <c r="G190" s="1866" t="s">
        <v>28</v>
      </c>
      <c r="H190" s="1866" t="s">
        <v>28</v>
      </c>
      <c r="I190" s="1866" t="s">
        <v>1006</v>
      </c>
    </row>
    <row customHeight="1" ht="11.25">
      <c r="A191" s="1866" t="s">
        <v>2394</v>
      </c>
      <c r="B191" s="1866" t="s">
        <v>16</v>
      </c>
      <c r="C191" s="1866" t="s">
        <v>2839</v>
      </c>
      <c r="D191" s="1866" t="s">
        <v>49</v>
      </c>
      <c r="E191" s="1866" t="s">
        <v>52</v>
      </c>
      <c r="F191" s="1866" t="s">
        <v>2840</v>
      </c>
      <c r="G191" s="1866" t="s">
        <v>28</v>
      </c>
      <c r="H191" s="1866" t="s">
        <v>28</v>
      </c>
      <c r="I191" s="1866" t="s">
        <v>1006</v>
      </c>
    </row>
    <row customHeight="1" ht="11.25">
      <c r="A192" s="1866" t="s">
        <v>2394</v>
      </c>
      <c r="B192" s="1866" t="s">
        <v>16</v>
      </c>
      <c r="C192" s="1866" t="s">
        <v>2841</v>
      </c>
      <c r="D192" s="1866" t="s">
        <v>49</v>
      </c>
      <c r="E192" s="1866" t="s">
        <v>52</v>
      </c>
      <c r="F192" s="1866" t="s">
        <v>2842</v>
      </c>
      <c r="G192" s="1866" t="s">
        <v>28</v>
      </c>
      <c r="H192" s="1866" t="s">
        <v>28</v>
      </c>
      <c r="I192" s="1866" t="s">
        <v>1006</v>
      </c>
    </row>
    <row customHeight="1" ht="11.25">
      <c r="A193" s="1866" t="s">
        <v>2394</v>
      </c>
      <c r="B193" s="1866" t="s">
        <v>16</v>
      </c>
      <c r="C193" s="1866" t="s">
        <v>13</v>
      </c>
      <c r="D193" s="1866" t="s">
        <v>49</v>
      </c>
      <c r="E193" s="1866" t="s">
        <v>52</v>
      </c>
      <c r="F193" s="1866" t="s">
        <v>54</v>
      </c>
      <c r="G193" s="1866" t="s">
        <v>28</v>
      </c>
      <c r="H193" s="1866" t="s">
        <v>28</v>
      </c>
      <c r="I193" s="1866" t="s">
        <v>1006</v>
      </c>
    </row>
    <row customHeight="1" ht="11.25">
      <c r="A194" s="1866" t="s">
        <v>2394</v>
      </c>
      <c r="B194" s="1866" t="s">
        <v>16</v>
      </c>
      <c r="C194" s="1866" t="s">
        <v>2882</v>
      </c>
      <c r="D194" s="1866" t="s">
        <v>2883</v>
      </c>
      <c r="E194" s="1866" t="s">
        <v>2884</v>
      </c>
      <c r="F194" s="1866" t="s">
        <v>2431</v>
      </c>
      <c r="G194" s="1866" t="s">
        <v>28</v>
      </c>
      <c r="H194" s="1866" t="s">
        <v>28</v>
      </c>
      <c r="I194" s="1866" t="s">
        <v>1006</v>
      </c>
    </row>
    <row customHeight="1" ht="11.25">
      <c r="A195" s="1866" t="s">
        <v>2394</v>
      </c>
      <c r="B195" s="1866" t="s">
        <v>16</v>
      </c>
      <c r="C195" s="1866" t="s">
        <v>2885</v>
      </c>
      <c r="D195" s="1866" t="s">
        <v>2883</v>
      </c>
      <c r="E195" s="1866" t="s">
        <v>2884</v>
      </c>
      <c r="F195" s="1866" t="s">
        <v>2886</v>
      </c>
      <c r="G195" s="1866" t="s">
        <v>28</v>
      </c>
      <c r="H195" s="1866" t="s">
        <v>28</v>
      </c>
      <c r="I195" s="1866" t="s">
        <v>1006</v>
      </c>
    </row>
    <row customHeight="1" ht="11.25">
      <c r="A196" s="1866" t="s">
        <v>2394</v>
      </c>
      <c r="B196" s="1866" t="s">
        <v>16</v>
      </c>
      <c r="C196" s="1866" t="s">
        <v>2887</v>
      </c>
      <c r="D196" s="1866" t="s">
        <v>2844</v>
      </c>
      <c r="E196" s="1866" t="s">
        <v>52</v>
      </c>
      <c r="F196" s="1866" t="s">
        <v>2888</v>
      </c>
      <c r="G196" s="1866" t="s">
        <v>28</v>
      </c>
      <c r="H196" s="1866" t="s">
        <v>28</v>
      </c>
      <c r="I196" s="1866" t="s">
        <v>1006</v>
      </c>
    </row>
    <row customHeight="1" ht="11.25">
      <c r="A197" s="1866" t="s">
        <v>2394</v>
      </c>
      <c r="B197" s="1866" t="s">
        <v>16</v>
      </c>
      <c r="C197" s="1866" t="s">
        <v>2843</v>
      </c>
      <c r="D197" s="1866" t="s">
        <v>2844</v>
      </c>
      <c r="E197" s="1866" t="s">
        <v>52</v>
      </c>
      <c r="F197" s="1866" t="s">
        <v>2845</v>
      </c>
      <c r="G197" s="1866" t="s">
        <v>28</v>
      </c>
      <c r="H197" s="1866" t="s">
        <v>28</v>
      </c>
      <c r="I197" s="1866" t="s">
        <v>1006</v>
      </c>
    </row>
    <row customHeight="1" ht="11.25">
      <c r="A198" s="1866" t="s">
        <v>2394</v>
      </c>
      <c r="B198" s="1866" t="s">
        <v>16</v>
      </c>
      <c r="C198" s="1866" t="s">
        <v>2889</v>
      </c>
      <c r="D198" s="1866" t="s">
        <v>2890</v>
      </c>
      <c r="E198" s="1866" t="s">
        <v>2891</v>
      </c>
      <c r="F198" s="1866" t="s">
        <v>2443</v>
      </c>
      <c r="G198" s="1866" t="s">
        <v>28</v>
      </c>
      <c r="H198" s="1866" t="s">
        <v>28</v>
      </c>
      <c r="I198" s="1866" t="s">
        <v>1006</v>
      </c>
    </row>
    <row customHeight="1" ht="11.25">
      <c r="A199" s="1866" t="s">
        <v>2394</v>
      </c>
      <c r="B199" s="1866" t="s">
        <v>16</v>
      </c>
      <c r="C199" s="1866" t="s">
        <v>2892</v>
      </c>
      <c r="D199" s="1866" t="s">
        <v>2893</v>
      </c>
      <c r="E199" s="1866" t="s">
        <v>2894</v>
      </c>
      <c r="F199" s="1866" t="s">
        <v>2443</v>
      </c>
      <c r="G199" s="1866" t="s">
        <v>2895</v>
      </c>
      <c r="H199" s="1866" t="s">
        <v>28</v>
      </c>
      <c r="I199" s="1866" t="s">
        <v>1006</v>
      </c>
    </row>
    <row customHeight="1" ht="11.25">
      <c r="A200" s="1866" t="s">
        <v>2394</v>
      </c>
      <c r="B200" s="1866" t="s">
        <v>16</v>
      </c>
      <c r="C200" s="1866" t="s">
        <v>2896</v>
      </c>
      <c r="D200" s="1866" t="s">
        <v>2897</v>
      </c>
      <c r="E200" s="1866" t="s">
        <v>2898</v>
      </c>
      <c r="F200" s="1866" t="s">
        <v>2630</v>
      </c>
      <c r="G200" s="1866" t="s">
        <v>28</v>
      </c>
      <c r="H200" s="1866" t="s">
        <v>28</v>
      </c>
      <c r="I200" s="1866" t="s">
        <v>1006</v>
      </c>
    </row>
    <row customHeight="1" ht="11.25">
      <c r="A201" s="1866" t="s">
        <v>2394</v>
      </c>
      <c r="B201" s="1866" t="s">
        <v>16</v>
      </c>
      <c r="C201" s="1866" t="s">
        <v>2899</v>
      </c>
      <c r="D201" s="1866" t="s">
        <v>2900</v>
      </c>
      <c r="E201" s="1866" t="s">
        <v>2901</v>
      </c>
      <c r="F201" s="1866" t="s">
        <v>2738</v>
      </c>
      <c r="G201" s="1866" t="s">
        <v>28</v>
      </c>
      <c r="H201" s="1866" t="s">
        <v>28</v>
      </c>
      <c r="I201" s="1866" t="s">
        <v>1006</v>
      </c>
    </row>
    <row customHeight="1" ht="11.25">
      <c r="A202" s="1866" t="s">
        <v>2394</v>
      </c>
      <c r="B202" s="1866" t="s">
        <v>16</v>
      </c>
      <c r="C202" s="1866" t="s">
        <v>2902</v>
      </c>
      <c r="D202" s="1866" t="s">
        <v>2903</v>
      </c>
      <c r="E202" s="1866" t="s">
        <v>2904</v>
      </c>
      <c r="F202" s="1866" t="s">
        <v>2464</v>
      </c>
      <c r="G202" s="1866" t="s">
        <v>28</v>
      </c>
      <c r="H202" s="1866" t="s">
        <v>28</v>
      </c>
      <c r="I202" s="1866" t="s">
        <v>1006</v>
      </c>
    </row>
    <row customHeight="1" ht="11.25">
      <c r="A203" s="1866" t="s">
        <v>2394</v>
      </c>
      <c r="B203" s="1866" t="s">
        <v>16</v>
      </c>
      <c r="C203" s="1866" t="s">
        <v>2905</v>
      </c>
      <c r="D203" s="1866" t="s">
        <v>2906</v>
      </c>
      <c r="E203" s="1866" t="s">
        <v>2907</v>
      </c>
      <c r="F203" s="1866" t="s">
        <v>2557</v>
      </c>
      <c r="G203" s="1866" t="s">
        <v>28</v>
      </c>
      <c r="H203" s="1866" t="s">
        <v>28</v>
      </c>
      <c r="I203" s="1866" t="s">
        <v>1006</v>
      </c>
    </row>
    <row customHeight="1" ht="11.25">
      <c r="A204" s="1866" t="s">
        <v>2394</v>
      </c>
      <c r="B204" s="1866" t="s">
        <v>16</v>
      </c>
      <c r="C204" s="1866" t="s">
        <v>2908</v>
      </c>
      <c r="D204" s="1866" t="s">
        <v>2909</v>
      </c>
      <c r="E204" s="1866" t="s">
        <v>2910</v>
      </c>
      <c r="F204" s="1866" t="s">
        <v>2911</v>
      </c>
      <c r="G204" s="1866" t="s">
        <v>28</v>
      </c>
      <c r="H204" s="1866" t="s">
        <v>28</v>
      </c>
      <c r="I204" s="1866" t="s">
        <v>1006</v>
      </c>
    </row>
    <row customHeight="1" ht="11.25">
      <c r="A205" s="1866" t="s">
        <v>2394</v>
      </c>
      <c r="B205" s="1866" t="s">
        <v>16</v>
      </c>
      <c r="C205" s="1866" t="s">
        <v>2912</v>
      </c>
      <c r="D205" s="1866" t="s">
        <v>2913</v>
      </c>
      <c r="E205" s="1866" t="s">
        <v>2914</v>
      </c>
      <c r="F205" s="1866" t="s">
        <v>2464</v>
      </c>
      <c r="G205" s="1866" t="s">
        <v>28</v>
      </c>
      <c r="H205" s="1866" t="s">
        <v>28</v>
      </c>
      <c r="I205" s="1866" t="s">
        <v>1006</v>
      </c>
    </row>
    <row customHeight="1" ht="11.25">
      <c r="A206" s="1866" t="s">
        <v>2394</v>
      </c>
      <c r="B206" s="1866" t="s">
        <v>16</v>
      </c>
      <c r="C206" s="1866" t="s">
        <v>2554</v>
      </c>
      <c r="D206" s="1866" t="s">
        <v>2555</v>
      </c>
      <c r="E206" s="1866" t="s">
        <v>2556</v>
      </c>
      <c r="F206" s="1866" t="s">
        <v>2557</v>
      </c>
      <c r="G206" s="1866" t="s">
        <v>28</v>
      </c>
      <c r="H206" s="1866" t="s">
        <v>28</v>
      </c>
      <c r="I206" s="1866" t="s">
        <v>1006</v>
      </c>
    </row>
    <row customHeight="1" ht="11.25">
      <c r="A207" s="1866" t="s">
        <v>2394</v>
      </c>
      <c r="B207" s="1866" t="s">
        <v>16</v>
      </c>
      <c r="C207" s="1866" t="s">
        <v>2915</v>
      </c>
      <c r="D207" s="1866" t="s">
        <v>2916</v>
      </c>
      <c r="E207" s="1866" t="s">
        <v>2917</v>
      </c>
      <c r="F207" s="1866" t="s">
        <v>2574</v>
      </c>
      <c r="G207" s="1866" t="s">
        <v>2918</v>
      </c>
      <c r="H207" s="1866" t="s">
        <v>28</v>
      </c>
      <c r="I207" s="1866" t="s">
        <v>1006</v>
      </c>
    </row>
    <row customHeight="1" ht="11.25">
      <c r="A208" s="1866" t="s">
        <v>2394</v>
      </c>
      <c r="B208" s="1866" t="s">
        <v>16</v>
      </c>
      <c r="C208" s="1866" t="s">
        <v>2919</v>
      </c>
      <c r="D208" s="1866" t="s">
        <v>2920</v>
      </c>
      <c r="E208" s="1866" t="s">
        <v>2921</v>
      </c>
      <c r="F208" s="1866" t="s">
        <v>2922</v>
      </c>
      <c r="G208" s="1866" t="s">
        <v>28</v>
      </c>
      <c r="H208" s="1866" t="s">
        <v>28</v>
      </c>
      <c r="I208" s="1866" t="s">
        <v>1006</v>
      </c>
    </row>
    <row customHeight="1" ht="11.25">
      <c r="A209" s="1866" t="s">
        <v>2394</v>
      </c>
      <c r="B209" s="1866" t="s">
        <v>16</v>
      </c>
      <c r="C209" s="1866" t="s">
        <v>2923</v>
      </c>
      <c r="D209" s="1866" t="s">
        <v>2924</v>
      </c>
      <c r="E209" s="1866" t="s">
        <v>2925</v>
      </c>
      <c r="F209" s="1866" t="s">
        <v>2443</v>
      </c>
      <c r="G209" s="1866" t="s">
        <v>2926</v>
      </c>
      <c r="H209" s="1866" t="s">
        <v>28</v>
      </c>
      <c r="I209" s="1866" t="s">
        <v>1006</v>
      </c>
    </row>
    <row customHeight="1" ht="11.25">
      <c r="A210" s="1866" t="s">
        <v>2394</v>
      </c>
      <c r="B210" s="1866" t="s">
        <v>16</v>
      </c>
      <c r="C210" s="1866" t="s">
        <v>2927</v>
      </c>
      <c r="D210" s="1866" t="s">
        <v>2928</v>
      </c>
      <c r="E210" s="1866" t="s">
        <v>2929</v>
      </c>
      <c r="F210" s="1866" t="s">
        <v>2443</v>
      </c>
      <c r="G210" s="1866" t="s">
        <v>2930</v>
      </c>
      <c r="H210" s="1866" t="s">
        <v>28</v>
      </c>
      <c r="I210" s="1866" t="s">
        <v>1006</v>
      </c>
    </row>
    <row customHeight="1" ht="11.25">
      <c r="A211" s="1866" t="s">
        <v>2394</v>
      </c>
      <c r="B211" s="1866" t="s">
        <v>16</v>
      </c>
      <c r="C211" s="1866" t="s">
        <v>2561</v>
      </c>
      <c r="D211" s="1866" t="s">
        <v>2562</v>
      </c>
      <c r="E211" s="1866" t="s">
        <v>2563</v>
      </c>
      <c r="F211" s="1866" t="s">
        <v>2564</v>
      </c>
      <c r="G211" s="1866" t="s">
        <v>28</v>
      </c>
      <c r="H211" s="1866" t="s">
        <v>28</v>
      </c>
      <c r="I211" s="1866" t="s">
        <v>1006</v>
      </c>
    </row>
    <row customHeight="1" ht="11.25">
      <c r="A212" s="1866" t="s">
        <v>2394</v>
      </c>
      <c r="B212" s="1866" t="s">
        <v>16</v>
      </c>
      <c r="C212" s="1866" t="s">
        <v>2565</v>
      </c>
      <c r="D212" s="1866" t="s">
        <v>2566</v>
      </c>
      <c r="E212" s="1866" t="s">
        <v>2567</v>
      </c>
      <c r="F212" s="1866" t="s">
        <v>2439</v>
      </c>
      <c r="G212" s="1866" t="s">
        <v>28</v>
      </c>
      <c r="H212" s="1866" t="s">
        <v>28</v>
      </c>
      <c r="I212" s="1866" t="s">
        <v>1006</v>
      </c>
    </row>
    <row customHeight="1" ht="11.25">
      <c r="A213" s="1866" t="s">
        <v>2394</v>
      </c>
      <c r="B213" s="1866" t="s">
        <v>16</v>
      </c>
      <c r="C213" s="1866" t="s">
        <v>2568</v>
      </c>
      <c r="D213" s="1866" t="s">
        <v>2569</v>
      </c>
      <c r="E213" s="1866" t="s">
        <v>2570</v>
      </c>
      <c r="F213" s="1866" t="s">
        <v>2439</v>
      </c>
      <c r="G213" s="1866" t="s">
        <v>28</v>
      </c>
      <c r="H213" s="1866" t="s">
        <v>28</v>
      </c>
      <c r="I213" s="1866" t="s">
        <v>1006</v>
      </c>
    </row>
    <row customHeight="1" ht="11.25">
      <c r="A214" s="1866" t="s">
        <v>2394</v>
      </c>
      <c r="B214" s="1866" t="s">
        <v>16</v>
      </c>
      <c r="C214" s="1866" t="s">
        <v>2571</v>
      </c>
      <c r="D214" s="1866" t="s">
        <v>2572</v>
      </c>
      <c r="E214" s="1866" t="s">
        <v>2573</v>
      </c>
      <c r="F214" s="1866" t="s">
        <v>2574</v>
      </c>
      <c r="G214" s="1866" t="s">
        <v>28</v>
      </c>
      <c r="H214" s="1866" t="s">
        <v>28</v>
      </c>
      <c r="I214" s="1866" t="s">
        <v>1006</v>
      </c>
    </row>
    <row customHeight="1" ht="11.25">
      <c r="A215" s="1866" t="s">
        <v>2394</v>
      </c>
      <c r="B215" s="1866" t="s">
        <v>16</v>
      </c>
      <c r="C215" s="1866" t="s">
        <v>2931</v>
      </c>
      <c r="D215" s="1866" t="s">
        <v>2932</v>
      </c>
      <c r="E215" s="1866" t="s">
        <v>2933</v>
      </c>
      <c r="F215" s="1866" t="s">
        <v>2509</v>
      </c>
      <c r="G215" s="1866" t="s">
        <v>28</v>
      </c>
      <c r="H215" s="1866" t="s">
        <v>28</v>
      </c>
      <c r="I215" s="1866" t="s">
        <v>1006</v>
      </c>
    </row>
    <row customHeight="1" ht="11.25">
      <c r="A216" s="1866" t="s">
        <v>2394</v>
      </c>
      <c r="B216" s="1866" t="s">
        <v>16</v>
      </c>
      <c r="C216" s="1866" t="s">
        <v>2934</v>
      </c>
      <c r="D216" s="1866" t="s">
        <v>2935</v>
      </c>
      <c r="E216" s="1866" t="s">
        <v>2936</v>
      </c>
      <c r="F216" s="1866" t="s">
        <v>2472</v>
      </c>
      <c r="G216" s="1866" t="s">
        <v>2937</v>
      </c>
      <c r="H216" s="1866" t="s">
        <v>28</v>
      </c>
      <c r="I216" s="1866" t="s">
        <v>1006</v>
      </c>
    </row>
    <row customHeight="1" ht="11.25">
      <c r="A217" s="1866" t="s">
        <v>2394</v>
      </c>
      <c r="B217" s="1866" t="s">
        <v>16</v>
      </c>
      <c r="C217" s="1866" t="s">
        <v>2938</v>
      </c>
      <c r="D217" s="1866" t="s">
        <v>2939</v>
      </c>
      <c r="E217" s="1866" t="s">
        <v>2940</v>
      </c>
      <c r="F217" s="1866" t="s">
        <v>2532</v>
      </c>
      <c r="G217" s="1866" t="s">
        <v>2941</v>
      </c>
      <c r="H217" s="1866" t="s">
        <v>28</v>
      </c>
      <c r="I217" s="1866" t="s">
        <v>1006</v>
      </c>
    </row>
    <row customHeight="1" ht="11.25">
      <c r="A218" s="1866" t="s">
        <v>2394</v>
      </c>
      <c r="B218" s="1866" t="s">
        <v>16</v>
      </c>
      <c r="C218" s="1866" t="s">
        <v>2575</v>
      </c>
      <c r="D218" s="1866" t="s">
        <v>2576</v>
      </c>
      <c r="E218" s="1866" t="s">
        <v>2577</v>
      </c>
      <c r="F218" s="1866" t="s">
        <v>2443</v>
      </c>
      <c r="G218" s="1866" t="s">
        <v>28</v>
      </c>
      <c r="H218" s="1866" t="s">
        <v>28</v>
      </c>
      <c r="I218" s="1866" t="s">
        <v>1006</v>
      </c>
    </row>
    <row customHeight="1" ht="11.25">
      <c r="A219" s="1866" t="s">
        <v>2394</v>
      </c>
      <c r="B219" s="1866" t="s">
        <v>16</v>
      </c>
      <c r="C219" s="1866" t="s">
        <v>2942</v>
      </c>
      <c r="D219" s="1866" t="s">
        <v>2943</v>
      </c>
      <c r="E219" s="1866" t="s">
        <v>2944</v>
      </c>
      <c r="F219" s="1866" t="s">
        <v>2911</v>
      </c>
      <c r="G219" s="1866" t="s">
        <v>28</v>
      </c>
      <c r="H219" s="1866" t="s">
        <v>28</v>
      </c>
      <c r="I219" s="1866" t="s">
        <v>1006</v>
      </c>
    </row>
    <row customHeight="1" ht="11.25">
      <c r="A220" s="1866" t="s">
        <v>2394</v>
      </c>
      <c r="B220" s="1866" t="s">
        <v>16</v>
      </c>
      <c r="C220" s="1866" t="s">
        <v>2578</v>
      </c>
      <c r="D220" s="1866" t="s">
        <v>2579</v>
      </c>
      <c r="E220" s="1866" t="s">
        <v>2580</v>
      </c>
      <c r="F220" s="1866" t="s">
        <v>2564</v>
      </c>
      <c r="G220" s="1866" t="s">
        <v>28</v>
      </c>
      <c r="H220" s="1866" t="s">
        <v>28</v>
      </c>
      <c r="I220" s="1866" t="s">
        <v>1006</v>
      </c>
    </row>
    <row customHeight="1" ht="11.25">
      <c r="A221" s="1866" t="s">
        <v>2394</v>
      </c>
      <c r="B221" s="1866" t="s">
        <v>16</v>
      </c>
      <c r="C221" s="1866" t="s">
        <v>2945</v>
      </c>
      <c r="D221" s="1866" t="s">
        <v>2946</v>
      </c>
      <c r="E221" s="1866" t="s">
        <v>2947</v>
      </c>
      <c r="F221" s="1866" t="s">
        <v>2472</v>
      </c>
      <c r="G221" s="1866" t="s">
        <v>28</v>
      </c>
      <c r="H221" s="1866" t="s">
        <v>28</v>
      </c>
      <c r="I221" s="1866" t="s">
        <v>1006</v>
      </c>
    </row>
    <row customHeight="1" ht="11.25">
      <c r="A222" s="1866" t="s">
        <v>2394</v>
      </c>
      <c r="B222" s="1866" t="s">
        <v>16</v>
      </c>
      <c r="C222" s="1866" t="s">
        <v>2948</v>
      </c>
      <c r="D222" s="1866" t="s">
        <v>2949</v>
      </c>
      <c r="E222" s="1866" t="s">
        <v>2950</v>
      </c>
      <c r="F222" s="1866" t="s">
        <v>2820</v>
      </c>
      <c r="G222" s="1866" t="s">
        <v>28</v>
      </c>
      <c r="H222" s="1866" t="s">
        <v>28</v>
      </c>
      <c r="I222" s="1866" t="s">
        <v>1006</v>
      </c>
    </row>
    <row customHeight="1" ht="11.25">
      <c r="A223" s="1866" t="s">
        <v>2394</v>
      </c>
      <c r="B223" s="1866" t="s">
        <v>16</v>
      </c>
      <c r="C223" s="1866" t="s">
        <v>2951</v>
      </c>
      <c r="D223" s="1866" t="s">
        <v>2952</v>
      </c>
      <c r="E223" s="1866" t="s">
        <v>2953</v>
      </c>
      <c r="F223" s="1866" t="s">
        <v>2401</v>
      </c>
      <c r="G223" s="1866" t="s">
        <v>28</v>
      </c>
      <c r="H223" s="1866" t="s">
        <v>28</v>
      </c>
      <c r="I223" s="1866" t="s">
        <v>1006</v>
      </c>
    </row>
    <row customHeight="1" ht="11.25">
      <c r="A224" s="1866" t="s">
        <v>2394</v>
      </c>
      <c r="B224" s="1866" t="s">
        <v>16</v>
      </c>
      <c r="C224" s="1866" t="s">
        <v>2581</v>
      </c>
      <c r="D224" s="1866" t="s">
        <v>2582</v>
      </c>
      <c r="E224" s="1866" t="s">
        <v>2583</v>
      </c>
      <c r="F224" s="1866" t="s">
        <v>2584</v>
      </c>
      <c r="G224" s="1866" t="s">
        <v>28</v>
      </c>
      <c r="H224" s="1866" t="s">
        <v>28</v>
      </c>
      <c r="I224" s="1866" t="s">
        <v>1006</v>
      </c>
    </row>
    <row customHeight="1" ht="11.25">
      <c r="A225" s="1866" t="s">
        <v>2394</v>
      </c>
      <c r="B225" s="1866" t="s">
        <v>16</v>
      </c>
      <c r="C225" s="1866" t="s">
        <v>2954</v>
      </c>
      <c r="D225" s="1866" t="s">
        <v>2955</v>
      </c>
      <c r="E225" s="1866" t="s">
        <v>2956</v>
      </c>
      <c r="F225" s="1866" t="s">
        <v>2820</v>
      </c>
      <c r="G225" s="1866" t="s">
        <v>28</v>
      </c>
      <c r="H225" s="1866" t="s">
        <v>28</v>
      </c>
      <c r="I225" s="1866" t="s">
        <v>1006</v>
      </c>
    </row>
    <row customHeight="1" ht="11.25">
      <c r="A226" s="1866" t="s">
        <v>2394</v>
      </c>
      <c r="B226" s="1866" t="s">
        <v>16</v>
      </c>
      <c r="C226" s="1866" t="s">
        <v>2585</v>
      </c>
      <c r="D226" s="1866" t="s">
        <v>2586</v>
      </c>
      <c r="E226" s="1866" t="s">
        <v>2587</v>
      </c>
      <c r="F226" s="1866" t="s">
        <v>54</v>
      </c>
      <c r="G226" s="1866" t="s">
        <v>28</v>
      </c>
      <c r="H226" s="1866" t="s">
        <v>28</v>
      </c>
      <c r="I226" s="1866" t="s">
        <v>1006</v>
      </c>
    </row>
    <row customHeight="1" ht="11.25">
      <c r="A227" s="1866" t="s">
        <v>2394</v>
      </c>
      <c r="B227" s="1866" t="s">
        <v>16</v>
      </c>
      <c r="C227" s="1866" t="s">
        <v>2595</v>
      </c>
      <c r="D227" s="1866" t="s">
        <v>2596</v>
      </c>
      <c r="E227" s="1866" t="s">
        <v>2597</v>
      </c>
      <c r="F227" s="1866" t="s">
        <v>2598</v>
      </c>
      <c r="G227" s="1866" t="s">
        <v>28</v>
      </c>
      <c r="H227" s="1866" t="s">
        <v>28</v>
      </c>
      <c r="I227" s="1866" t="s">
        <v>1006</v>
      </c>
    </row>
    <row customHeight="1" ht="11.25">
      <c r="A228" s="1866" t="s">
        <v>2394</v>
      </c>
      <c r="B228" s="1866" t="s">
        <v>16</v>
      </c>
      <c r="C228" s="1866" t="s">
        <v>2957</v>
      </c>
      <c r="D228" s="1866" t="s">
        <v>2958</v>
      </c>
      <c r="E228" s="1866" t="s">
        <v>2417</v>
      </c>
      <c r="F228" s="1866" t="s">
        <v>2959</v>
      </c>
      <c r="G228" s="1866" t="s">
        <v>28</v>
      </c>
      <c r="H228" s="1866" t="s">
        <v>28</v>
      </c>
      <c r="I228" s="1866" t="s">
        <v>1006</v>
      </c>
    </row>
    <row customHeight="1" ht="11.25">
      <c r="A229" s="1866" t="s">
        <v>2394</v>
      </c>
      <c r="B229" s="1866" t="s">
        <v>16</v>
      </c>
      <c r="C229" s="1866" t="s">
        <v>2960</v>
      </c>
      <c r="D229" s="1866" t="s">
        <v>2961</v>
      </c>
      <c r="E229" s="1866" t="s">
        <v>2962</v>
      </c>
      <c r="F229" s="1866" t="s">
        <v>2401</v>
      </c>
      <c r="G229" s="1866" t="s">
        <v>28</v>
      </c>
      <c r="H229" s="1866" t="s">
        <v>28</v>
      </c>
      <c r="I229" s="1866" t="s">
        <v>1006</v>
      </c>
    </row>
    <row customHeight="1" ht="11.25">
      <c r="A230" s="1866" t="s">
        <v>2394</v>
      </c>
      <c r="B230" s="1866" t="s">
        <v>16</v>
      </c>
      <c r="C230" s="1866" t="s">
        <v>2612</v>
      </c>
      <c r="D230" s="1866" t="s">
        <v>2613</v>
      </c>
      <c r="E230" s="1866" t="s">
        <v>2614</v>
      </c>
      <c r="F230" s="1866" t="s">
        <v>2439</v>
      </c>
      <c r="G230" s="1866" t="s">
        <v>28</v>
      </c>
      <c r="H230" s="1866" t="s">
        <v>28</v>
      </c>
      <c r="I230" s="1866" t="s">
        <v>1006</v>
      </c>
    </row>
    <row customHeight="1" ht="11.25">
      <c r="A231" s="1866" t="s">
        <v>2394</v>
      </c>
      <c r="B231" s="1866" t="s">
        <v>16</v>
      </c>
      <c r="C231" s="1866" t="s">
        <v>2963</v>
      </c>
      <c r="D231" s="1866" t="s">
        <v>2964</v>
      </c>
      <c r="E231" s="1866" t="s">
        <v>2965</v>
      </c>
      <c r="F231" s="1866" t="s">
        <v>2443</v>
      </c>
      <c r="G231" s="1866" t="s">
        <v>2966</v>
      </c>
      <c r="H231" s="1866" t="s">
        <v>28</v>
      </c>
      <c r="I231" s="1866" t="s">
        <v>1006</v>
      </c>
    </row>
    <row customHeight="1" ht="11.25">
      <c r="A232" s="1866" t="s">
        <v>2394</v>
      </c>
      <c r="B232" s="1866" t="s">
        <v>16</v>
      </c>
      <c r="C232" s="1866" t="s">
        <v>2967</v>
      </c>
      <c r="D232" s="1866" t="s">
        <v>2968</v>
      </c>
      <c r="E232" s="1866" t="s">
        <v>2969</v>
      </c>
      <c r="F232" s="1866" t="s">
        <v>2455</v>
      </c>
      <c r="G232" s="1866" t="s">
        <v>2970</v>
      </c>
      <c r="H232" s="1866" t="s">
        <v>28</v>
      </c>
      <c r="I232" s="1866" t="s">
        <v>1006</v>
      </c>
    </row>
    <row customHeight="1" ht="11.25">
      <c r="A233" s="1866" t="s">
        <v>2394</v>
      </c>
      <c r="B233" s="1866" t="s">
        <v>16</v>
      </c>
      <c r="C233" s="1866" t="s">
        <v>2971</v>
      </c>
      <c r="D233" s="1866" t="s">
        <v>2972</v>
      </c>
      <c r="E233" s="1866" t="s">
        <v>2973</v>
      </c>
      <c r="F233" s="1866" t="s">
        <v>2409</v>
      </c>
      <c r="G233" s="1866" t="s">
        <v>2974</v>
      </c>
      <c r="H233" s="1866" t="s">
        <v>28</v>
      </c>
      <c r="I233" s="1866" t="s">
        <v>1006</v>
      </c>
    </row>
    <row customHeight="1" ht="11.25">
      <c r="A234" s="1866" t="s">
        <v>2394</v>
      </c>
      <c r="B234" s="1866" t="s">
        <v>16</v>
      </c>
      <c r="C234" s="1866" t="s">
        <v>2975</v>
      </c>
      <c r="D234" s="1866" t="s">
        <v>2976</v>
      </c>
      <c r="E234" s="1866" t="s">
        <v>2977</v>
      </c>
      <c r="F234" s="1866" t="s">
        <v>2978</v>
      </c>
      <c r="G234" s="1866" t="s">
        <v>28</v>
      </c>
      <c r="H234" s="1866" t="s">
        <v>28</v>
      </c>
      <c r="I234" s="1866" t="s">
        <v>1006</v>
      </c>
    </row>
    <row customHeight="1" ht="11.25">
      <c r="A235" s="1866" t="s">
        <v>2394</v>
      </c>
      <c r="B235" s="1866" t="s">
        <v>16</v>
      </c>
      <c r="C235" s="1866" t="s">
        <v>2979</v>
      </c>
      <c r="D235" s="1866" t="s">
        <v>2980</v>
      </c>
      <c r="E235" s="1866" t="s">
        <v>2981</v>
      </c>
      <c r="F235" s="1866" t="s">
        <v>2405</v>
      </c>
      <c r="G235" s="1866" t="s">
        <v>2982</v>
      </c>
      <c r="H235" s="1866" t="s">
        <v>28</v>
      </c>
      <c r="I235" s="1866" t="s">
        <v>1006</v>
      </c>
    </row>
    <row customHeight="1" ht="11.25">
      <c r="A236" s="1866" t="s">
        <v>2394</v>
      </c>
      <c r="B236" s="1866" t="s">
        <v>16</v>
      </c>
      <c r="C236" s="1866" t="s">
        <v>2983</v>
      </c>
      <c r="D236" s="1866" t="s">
        <v>2984</v>
      </c>
      <c r="E236" s="1866" t="s">
        <v>2985</v>
      </c>
      <c r="F236" s="1866" t="s">
        <v>2431</v>
      </c>
      <c r="G236" s="1866" t="s">
        <v>28</v>
      </c>
      <c r="H236" s="1866" t="s">
        <v>28</v>
      </c>
      <c r="I236" s="1866" t="s">
        <v>1006</v>
      </c>
    </row>
    <row customHeight="1" ht="11.25">
      <c r="A237" s="1866" t="s">
        <v>2394</v>
      </c>
      <c r="B237" s="1866" t="s">
        <v>16</v>
      </c>
      <c r="C237" s="1866" t="s">
        <v>2986</v>
      </c>
      <c r="D237" s="1866" t="s">
        <v>2987</v>
      </c>
      <c r="E237" s="1866" t="s">
        <v>2988</v>
      </c>
      <c r="F237" s="1866" t="s">
        <v>2989</v>
      </c>
      <c r="G237" s="1866" t="s">
        <v>28</v>
      </c>
      <c r="H237" s="1866" t="s">
        <v>28</v>
      </c>
      <c r="I237" s="1866" t="s">
        <v>1006</v>
      </c>
    </row>
    <row customHeight="1" ht="11.25">
      <c r="A238" s="1866" t="s">
        <v>2394</v>
      </c>
      <c r="B238" s="1866" t="s">
        <v>16</v>
      </c>
      <c r="C238" s="1866" t="s">
        <v>2990</v>
      </c>
      <c r="D238" s="1866" t="s">
        <v>2991</v>
      </c>
      <c r="E238" s="1866" t="s">
        <v>2992</v>
      </c>
      <c r="F238" s="1866" t="s">
        <v>2794</v>
      </c>
      <c r="G238" s="1866" t="s">
        <v>28</v>
      </c>
      <c r="H238" s="1866" t="s">
        <v>28</v>
      </c>
      <c r="I238" s="1866" t="s">
        <v>1006</v>
      </c>
    </row>
    <row customHeight="1" ht="11.25">
      <c r="A239" s="1866" t="s">
        <v>2394</v>
      </c>
      <c r="B239" s="1866" t="s">
        <v>16</v>
      </c>
      <c r="C239" s="1866" t="s">
        <v>2993</v>
      </c>
      <c r="D239" s="1866" t="s">
        <v>2994</v>
      </c>
      <c r="E239" s="1866" t="s">
        <v>2995</v>
      </c>
      <c r="F239" s="1866" t="s">
        <v>2820</v>
      </c>
      <c r="G239" s="1866" t="s">
        <v>2996</v>
      </c>
      <c r="H239" s="1866" t="s">
        <v>28</v>
      </c>
      <c r="I239" s="1866" t="s">
        <v>1006</v>
      </c>
    </row>
    <row customHeight="1" ht="11.25">
      <c r="A240" s="1866" t="s">
        <v>2394</v>
      </c>
      <c r="B240" s="1866" t="s">
        <v>16</v>
      </c>
      <c r="C240" s="1866" t="s">
        <v>2627</v>
      </c>
      <c r="D240" s="1866" t="s">
        <v>2628</v>
      </c>
      <c r="E240" s="1866" t="s">
        <v>2629</v>
      </c>
      <c r="F240" s="1866" t="s">
        <v>2630</v>
      </c>
      <c r="G240" s="1866" t="s">
        <v>2631</v>
      </c>
      <c r="H240" s="1866" t="s">
        <v>28</v>
      </c>
      <c r="I240" s="1866" t="s">
        <v>1006</v>
      </c>
    </row>
    <row customHeight="1" ht="11.25">
      <c r="A241" s="1866" t="s">
        <v>2394</v>
      </c>
      <c r="B241" s="1866" t="s">
        <v>16</v>
      </c>
      <c r="C241" s="1866" t="s">
        <v>2997</v>
      </c>
      <c r="D241" s="1866" t="s">
        <v>2998</v>
      </c>
      <c r="E241" s="1866" t="s">
        <v>2999</v>
      </c>
      <c r="F241" s="1866" t="s">
        <v>2443</v>
      </c>
      <c r="G241" s="1866" t="s">
        <v>28</v>
      </c>
      <c r="H241" s="1866" t="s">
        <v>28</v>
      </c>
      <c r="I241" s="1866" t="s">
        <v>1006</v>
      </c>
    </row>
    <row customHeight="1" ht="11.25">
      <c r="A242" s="1866" t="s">
        <v>2394</v>
      </c>
      <c r="B242" s="1866" t="s">
        <v>16</v>
      </c>
      <c r="C242" s="1866" t="s">
        <v>3000</v>
      </c>
      <c r="D242" s="1866" t="s">
        <v>3001</v>
      </c>
      <c r="E242" s="1866" t="s">
        <v>3002</v>
      </c>
      <c r="F242" s="1866" t="s">
        <v>2630</v>
      </c>
      <c r="G242" s="1866" t="s">
        <v>28</v>
      </c>
      <c r="H242" s="1866" t="s">
        <v>28</v>
      </c>
      <c r="I242" s="1866" t="s">
        <v>1006</v>
      </c>
    </row>
    <row customHeight="1" ht="11.25">
      <c r="A243" s="1866" t="s">
        <v>2394</v>
      </c>
      <c r="B243" s="1866" t="s">
        <v>16</v>
      </c>
      <c r="C243" s="1866" t="s">
        <v>3003</v>
      </c>
      <c r="D243" s="1866" t="s">
        <v>3004</v>
      </c>
      <c r="E243" s="1866" t="s">
        <v>3005</v>
      </c>
      <c r="F243" s="1866" t="s">
        <v>2397</v>
      </c>
      <c r="G243" s="1866" t="s">
        <v>28</v>
      </c>
      <c r="H243" s="1866" t="s">
        <v>28</v>
      </c>
      <c r="I243" s="1866" t="s">
        <v>1006</v>
      </c>
    </row>
    <row customHeight="1" ht="11.25">
      <c r="A244" s="1866" t="s">
        <v>2394</v>
      </c>
      <c r="B244" s="1866" t="s">
        <v>16</v>
      </c>
      <c r="C244" s="1866" t="s">
        <v>2640</v>
      </c>
      <c r="D244" s="1866" t="s">
        <v>2641</v>
      </c>
      <c r="E244" s="1866" t="s">
        <v>2642</v>
      </c>
      <c r="F244" s="1866" t="s">
        <v>2643</v>
      </c>
      <c r="G244" s="1866" t="s">
        <v>28</v>
      </c>
      <c r="H244" s="1866" t="s">
        <v>28</v>
      </c>
      <c r="I244" s="1866" t="s">
        <v>1006</v>
      </c>
    </row>
    <row customHeight="1" ht="11.25">
      <c r="A245" s="1866" t="s">
        <v>2394</v>
      </c>
      <c r="B245" s="1866" t="s">
        <v>16</v>
      </c>
      <c r="C245" s="1866" t="s">
        <v>3006</v>
      </c>
      <c r="D245" s="1866" t="s">
        <v>3007</v>
      </c>
      <c r="E245" s="1866" t="s">
        <v>3008</v>
      </c>
      <c r="F245" s="1866" t="s">
        <v>2401</v>
      </c>
      <c r="G245" s="1866" t="s">
        <v>28</v>
      </c>
      <c r="H245" s="1866" t="s">
        <v>28</v>
      </c>
      <c r="I245" s="1866" t="s">
        <v>1006</v>
      </c>
    </row>
    <row customHeight="1" ht="11.25">
      <c r="A246" s="1866" t="s">
        <v>2394</v>
      </c>
      <c r="B246" s="1866" t="s">
        <v>16</v>
      </c>
      <c r="C246" s="1866" t="s">
        <v>2644</v>
      </c>
      <c r="D246" s="1866" t="s">
        <v>2645</v>
      </c>
      <c r="E246" s="1866" t="s">
        <v>2646</v>
      </c>
      <c r="F246" s="1866" t="s">
        <v>2630</v>
      </c>
      <c r="G246" s="1866" t="s">
        <v>28</v>
      </c>
      <c r="H246" s="1866" t="s">
        <v>28</v>
      </c>
      <c r="I246" s="1866" t="s">
        <v>1006</v>
      </c>
    </row>
    <row customHeight="1" ht="11.25">
      <c r="A247" s="1866" t="s">
        <v>2394</v>
      </c>
      <c r="B247" s="1866" t="s">
        <v>16</v>
      </c>
      <c r="C247" s="1866" t="s">
        <v>2650</v>
      </c>
      <c r="D247" s="1866" t="s">
        <v>2651</v>
      </c>
      <c r="E247" s="1866" t="s">
        <v>2652</v>
      </c>
      <c r="F247" s="1866" t="s">
        <v>2630</v>
      </c>
      <c r="G247" s="1866" t="s">
        <v>28</v>
      </c>
      <c r="H247" s="1866" t="s">
        <v>28</v>
      </c>
      <c r="I247" s="1866" t="s">
        <v>1006</v>
      </c>
    </row>
    <row customHeight="1" ht="11.25">
      <c r="A248" s="1866" t="s">
        <v>2394</v>
      </c>
      <c r="B248" s="1866" t="s">
        <v>16</v>
      </c>
      <c r="C248" s="1866" t="s">
        <v>3009</v>
      </c>
      <c r="D248" s="1866" t="s">
        <v>3010</v>
      </c>
      <c r="E248" s="1866" t="s">
        <v>3011</v>
      </c>
      <c r="F248" s="1866" t="s">
        <v>2630</v>
      </c>
      <c r="G248" s="1866" t="s">
        <v>28</v>
      </c>
      <c r="H248" s="1866" t="s">
        <v>28</v>
      </c>
      <c r="I248" s="1866" t="s">
        <v>1006</v>
      </c>
    </row>
    <row customHeight="1" ht="11.25">
      <c r="A249" s="1866" t="s">
        <v>2394</v>
      </c>
      <c r="B249" s="1866" t="s">
        <v>16</v>
      </c>
      <c r="C249" s="1866" t="s">
        <v>3012</v>
      </c>
      <c r="D249" s="1866" t="s">
        <v>3013</v>
      </c>
      <c r="E249" s="1866" t="s">
        <v>3014</v>
      </c>
      <c r="F249" s="1866" t="s">
        <v>2584</v>
      </c>
      <c r="G249" s="1866" t="s">
        <v>3015</v>
      </c>
      <c r="H249" s="1866" t="s">
        <v>28</v>
      </c>
      <c r="I249" s="1866" t="s">
        <v>1006</v>
      </c>
    </row>
    <row customHeight="1" ht="11.25">
      <c r="A250" s="1866" t="s">
        <v>2394</v>
      </c>
      <c r="B250" s="1866" t="s">
        <v>16</v>
      </c>
      <c r="C250" s="1866" t="s">
        <v>3016</v>
      </c>
      <c r="D250" s="1866" t="s">
        <v>3017</v>
      </c>
      <c r="E250" s="1866" t="s">
        <v>3018</v>
      </c>
      <c r="F250" s="1866" t="s">
        <v>2401</v>
      </c>
      <c r="G250" s="1866" t="s">
        <v>3019</v>
      </c>
      <c r="H250" s="1866" t="s">
        <v>28</v>
      </c>
      <c r="I250" s="1866" t="s">
        <v>1006</v>
      </c>
    </row>
    <row customHeight="1" ht="11.25">
      <c r="A251" s="1866" t="s">
        <v>2394</v>
      </c>
      <c r="B251" s="1866" t="s">
        <v>16</v>
      </c>
      <c r="C251" s="1866" t="s">
        <v>3020</v>
      </c>
      <c r="D251" s="1866" t="s">
        <v>3021</v>
      </c>
      <c r="E251" s="1866" t="s">
        <v>3022</v>
      </c>
      <c r="F251" s="1866" t="s">
        <v>2540</v>
      </c>
      <c r="G251" s="1866" t="s">
        <v>28</v>
      </c>
      <c r="H251" s="1866" t="s">
        <v>28</v>
      </c>
      <c r="I251" s="1866" t="s">
        <v>1006</v>
      </c>
    </row>
    <row customHeight="1" ht="11.25">
      <c r="A252" s="1866" t="s">
        <v>2394</v>
      </c>
      <c r="B252" s="1866" t="s">
        <v>16</v>
      </c>
      <c r="C252" s="1866" t="s">
        <v>3023</v>
      </c>
      <c r="D252" s="1866" t="s">
        <v>3024</v>
      </c>
      <c r="E252" s="1866" t="s">
        <v>3025</v>
      </c>
      <c r="F252" s="1866" t="s">
        <v>2820</v>
      </c>
      <c r="G252" s="1866" t="s">
        <v>3026</v>
      </c>
      <c r="H252" s="1866" t="s">
        <v>28</v>
      </c>
      <c r="I252" s="1866" t="s">
        <v>1006</v>
      </c>
    </row>
    <row customHeight="1" ht="11.25">
      <c r="A253" s="1866" t="s">
        <v>2394</v>
      </c>
      <c r="B253" s="1866" t="s">
        <v>16</v>
      </c>
      <c r="C253" s="1866" t="s">
        <v>3027</v>
      </c>
      <c r="D253" s="1866" t="s">
        <v>3028</v>
      </c>
      <c r="E253" s="1866" t="s">
        <v>3029</v>
      </c>
      <c r="F253" s="1866" t="s">
        <v>2464</v>
      </c>
      <c r="G253" s="1866" t="s">
        <v>3030</v>
      </c>
      <c r="H253" s="1866" t="s">
        <v>28</v>
      </c>
      <c r="I253" s="1866" t="s">
        <v>1006</v>
      </c>
    </row>
    <row customHeight="1" ht="11.25">
      <c r="A254" s="1866" t="s">
        <v>2394</v>
      </c>
      <c r="B254" s="1866" t="s">
        <v>16</v>
      </c>
      <c r="C254" s="1866" t="s">
        <v>3031</v>
      </c>
      <c r="D254" s="1866" t="s">
        <v>3032</v>
      </c>
      <c r="E254" s="1866" t="s">
        <v>3033</v>
      </c>
      <c r="F254" s="1866" t="s">
        <v>2409</v>
      </c>
      <c r="G254" s="1866" t="s">
        <v>3034</v>
      </c>
      <c r="H254" s="1866" t="s">
        <v>28</v>
      </c>
      <c r="I254" s="1866" t="s">
        <v>1006</v>
      </c>
    </row>
    <row customHeight="1" ht="11.25">
      <c r="A255" s="1866" t="s">
        <v>2394</v>
      </c>
      <c r="B255" s="1866" t="s">
        <v>16</v>
      </c>
      <c r="C255" s="1866" t="s">
        <v>2662</v>
      </c>
      <c r="D255" s="1866" t="s">
        <v>2663</v>
      </c>
      <c r="E255" s="1866" t="s">
        <v>2664</v>
      </c>
      <c r="F255" s="1866" t="s">
        <v>2630</v>
      </c>
      <c r="G255" s="1866" t="s">
        <v>28</v>
      </c>
      <c r="H255" s="1866" t="s">
        <v>28</v>
      </c>
      <c r="I255" s="1866" t="s">
        <v>1006</v>
      </c>
    </row>
    <row customHeight="1" ht="11.25">
      <c r="A256" s="1866" t="s">
        <v>2394</v>
      </c>
      <c r="B256" s="1866" t="s">
        <v>16</v>
      </c>
      <c r="C256" s="1866" t="s">
        <v>3035</v>
      </c>
      <c r="D256" s="1866" t="s">
        <v>3036</v>
      </c>
      <c r="E256" s="1866" t="s">
        <v>3037</v>
      </c>
      <c r="F256" s="1866" t="s">
        <v>2584</v>
      </c>
      <c r="G256" s="1866" t="s">
        <v>28</v>
      </c>
      <c r="H256" s="1866" t="s">
        <v>28</v>
      </c>
      <c r="I256" s="1866" t="s">
        <v>1006</v>
      </c>
    </row>
    <row customHeight="1" ht="11.25">
      <c r="A257" s="1866" t="s">
        <v>2394</v>
      </c>
      <c r="B257" s="1866" t="s">
        <v>16</v>
      </c>
      <c r="C257" s="1866" t="s">
        <v>3038</v>
      </c>
      <c r="D257" s="1866" t="s">
        <v>3039</v>
      </c>
      <c r="E257" s="1866" t="s">
        <v>3040</v>
      </c>
      <c r="F257" s="1866" t="s">
        <v>2455</v>
      </c>
      <c r="G257" s="1866" t="s">
        <v>3041</v>
      </c>
      <c r="H257" s="1866" t="s">
        <v>28</v>
      </c>
      <c r="I257" s="1866" t="s">
        <v>1006</v>
      </c>
    </row>
    <row customHeight="1" ht="11.25">
      <c r="A258" s="1866" t="s">
        <v>2394</v>
      </c>
      <c r="B258" s="1866" t="s">
        <v>16</v>
      </c>
      <c r="C258" s="1866" t="s">
        <v>2675</v>
      </c>
      <c r="D258" s="1866" t="s">
        <v>2676</v>
      </c>
      <c r="E258" s="1866" t="s">
        <v>2677</v>
      </c>
      <c r="F258" s="1866" t="s">
        <v>2443</v>
      </c>
      <c r="G258" s="1866" t="s">
        <v>28</v>
      </c>
      <c r="H258" s="1866" t="s">
        <v>28</v>
      </c>
      <c r="I258" s="1866" t="s">
        <v>1006</v>
      </c>
    </row>
    <row customHeight="1" ht="11.25">
      <c r="A259" s="1866" t="s">
        <v>2394</v>
      </c>
      <c r="B259" s="1866" t="s">
        <v>16</v>
      </c>
      <c r="C259" s="1866" t="s">
        <v>2678</v>
      </c>
      <c r="D259" s="1866" t="s">
        <v>2679</v>
      </c>
      <c r="E259" s="1866" t="s">
        <v>2680</v>
      </c>
      <c r="F259" s="1866" t="s">
        <v>2401</v>
      </c>
      <c r="G259" s="1866" t="s">
        <v>28</v>
      </c>
      <c r="H259" s="1866" t="s">
        <v>28</v>
      </c>
      <c r="I259" s="1866" t="s">
        <v>1006</v>
      </c>
    </row>
    <row customHeight="1" ht="11.25">
      <c r="A260" s="1866" t="s">
        <v>2394</v>
      </c>
      <c r="B260" s="1866" t="s">
        <v>16</v>
      </c>
      <c r="C260" s="1866" t="s">
        <v>2693</v>
      </c>
      <c r="D260" s="1866" t="s">
        <v>2694</v>
      </c>
      <c r="E260" s="1866" t="s">
        <v>2695</v>
      </c>
      <c r="F260" s="1866" t="s">
        <v>2605</v>
      </c>
      <c r="G260" s="1866" t="s">
        <v>2696</v>
      </c>
      <c r="H260" s="1866" t="s">
        <v>28</v>
      </c>
      <c r="I260" s="1866" t="s">
        <v>1006</v>
      </c>
    </row>
    <row customHeight="1" ht="11.25">
      <c r="A261" s="1866" t="s">
        <v>2394</v>
      </c>
      <c r="B261" s="1866" t="s">
        <v>16</v>
      </c>
      <c r="C261" s="1866" t="s">
        <v>3042</v>
      </c>
      <c r="D261" s="1866" t="s">
        <v>3043</v>
      </c>
      <c r="E261" s="1866" t="s">
        <v>3044</v>
      </c>
      <c r="F261" s="1866" t="s">
        <v>2591</v>
      </c>
      <c r="G261" s="1866" t="s">
        <v>28</v>
      </c>
      <c r="H261" s="1866" t="s">
        <v>28</v>
      </c>
      <c r="I261" s="1866" t="s">
        <v>1006</v>
      </c>
    </row>
    <row customHeight="1" ht="11.25">
      <c r="A262" s="1866" t="s">
        <v>2394</v>
      </c>
      <c r="B262" s="1866" t="s">
        <v>16</v>
      </c>
      <c r="C262" s="1866" t="s">
        <v>3045</v>
      </c>
      <c r="D262" s="1866" t="s">
        <v>3046</v>
      </c>
      <c r="E262" s="1866" t="s">
        <v>3047</v>
      </c>
      <c r="F262" s="1866" t="s">
        <v>2540</v>
      </c>
      <c r="G262" s="1866" t="s">
        <v>28</v>
      </c>
      <c r="H262" s="1866" t="s">
        <v>28</v>
      </c>
      <c r="I262" s="1866" t="s">
        <v>1006</v>
      </c>
    </row>
    <row customHeight="1" ht="11.25">
      <c r="A263" s="1866" t="s">
        <v>2394</v>
      </c>
      <c r="B263" s="1866" t="s">
        <v>16</v>
      </c>
      <c r="C263" s="1866" t="s">
        <v>2709</v>
      </c>
      <c r="D263" s="1866" t="s">
        <v>2710</v>
      </c>
      <c r="E263" s="1866" t="s">
        <v>2711</v>
      </c>
      <c r="F263" s="1866" t="s">
        <v>2401</v>
      </c>
      <c r="G263" s="1866" t="s">
        <v>28</v>
      </c>
      <c r="H263" s="1866" t="s">
        <v>28</v>
      </c>
      <c r="I263" s="1866" t="s">
        <v>1006</v>
      </c>
    </row>
    <row customHeight="1" ht="11.25">
      <c r="A264" s="1866" t="s">
        <v>2394</v>
      </c>
      <c r="B264" s="1866" t="s">
        <v>16</v>
      </c>
      <c r="C264" s="1866" t="s">
        <v>3048</v>
      </c>
      <c r="D264" s="1866" t="s">
        <v>3049</v>
      </c>
      <c r="E264" s="1866" t="s">
        <v>3050</v>
      </c>
      <c r="F264" s="1866" t="s">
        <v>3051</v>
      </c>
      <c r="G264" s="1866" t="s">
        <v>28</v>
      </c>
      <c r="H264" s="1866" t="s">
        <v>28</v>
      </c>
      <c r="I264" s="1866" t="s">
        <v>1006</v>
      </c>
    </row>
    <row customHeight="1" ht="11.25">
      <c r="A265" s="1866" t="s">
        <v>2394</v>
      </c>
      <c r="B265" s="1866" t="s">
        <v>16</v>
      </c>
      <c r="C265" s="1866" t="s">
        <v>3052</v>
      </c>
      <c r="D265" s="1866" t="s">
        <v>3053</v>
      </c>
      <c r="E265" s="1866" t="s">
        <v>3054</v>
      </c>
      <c r="F265" s="1866" t="s">
        <v>2605</v>
      </c>
      <c r="G265" s="1866" t="s">
        <v>28</v>
      </c>
      <c r="H265" s="1866" t="s">
        <v>28</v>
      </c>
      <c r="I265" s="1866" t="s">
        <v>1006</v>
      </c>
    </row>
    <row customHeight="1" ht="11.25">
      <c r="A266" s="1866" t="s">
        <v>2394</v>
      </c>
      <c r="B266" s="1866" t="s">
        <v>16</v>
      </c>
      <c r="C266" s="1866" t="s">
        <v>3055</v>
      </c>
      <c r="D266" s="1866" t="s">
        <v>3056</v>
      </c>
      <c r="E266" s="1866" t="s">
        <v>3057</v>
      </c>
      <c r="F266" s="1866" t="s">
        <v>2431</v>
      </c>
      <c r="G266" s="1866" t="s">
        <v>28</v>
      </c>
      <c r="H266" s="1866" t="s">
        <v>28</v>
      </c>
      <c r="I266" s="1866" t="s">
        <v>1006</v>
      </c>
    </row>
    <row customHeight="1" ht="11.25">
      <c r="A267" s="1866" t="s">
        <v>2394</v>
      </c>
      <c r="B267" s="1866" t="s">
        <v>16</v>
      </c>
      <c r="C267" s="1866" t="s">
        <v>2712</v>
      </c>
      <c r="D267" s="1866" t="s">
        <v>2713</v>
      </c>
      <c r="E267" s="1866" t="s">
        <v>2714</v>
      </c>
      <c r="F267" s="1866" t="s">
        <v>2584</v>
      </c>
      <c r="G267" s="1866" t="s">
        <v>2465</v>
      </c>
      <c r="H267" s="1866" t="s">
        <v>28</v>
      </c>
      <c r="I267" s="1866" t="s">
        <v>1006</v>
      </c>
    </row>
    <row customHeight="1" ht="11.25">
      <c r="A268" s="1866" t="s">
        <v>2394</v>
      </c>
      <c r="B268" s="1866" t="s">
        <v>16</v>
      </c>
      <c r="C268" s="1866" t="s">
        <v>3058</v>
      </c>
      <c r="D268" s="1866" t="s">
        <v>3059</v>
      </c>
      <c r="E268" s="1866" t="s">
        <v>3060</v>
      </c>
      <c r="F268" s="1866" t="s">
        <v>2584</v>
      </c>
      <c r="G268" s="1866" t="s">
        <v>28</v>
      </c>
      <c r="H268" s="1866" t="s">
        <v>28</v>
      </c>
      <c r="I268" s="1866" t="s">
        <v>1006</v>
      </c>
    </row>
    <row customHeight="1" ht="11.25">
      <c r="A269" s="1866" t="s">
        <v>2394</v>
      </c>
      <c r="B269" s="1866" t="s">
        <v>16</v>
      </c>
      <c r="C269" s="1866" t="s">
        <v>2721</v>
      </c>
      <c r="D269" s="1866" t="s">
        <v>2722</v>
      </c>
      <c r="E269" s="1866" t="s">
        <v>2723</v>
      </c>
      <c r="F269" s="1866" t="s">
        <v>2724</v>
      </c>
      <c r="G269" s="1866" t="s">
        <v>28</v>
      </c>
      <c r="H269" s="1866" t="s">
        <v>28</v>
      </c>
      <c r="I269" s="1866" t="s">
        <v>1006</v>
      </c>
    </row>
    <row customHeight="1" ht="11.25">
      <c r="A270" s="1866" t="s">
        <v>2394</v>
      </c>
      <c r="B270" s="1866" t="s">
        <v>16</v>
      </c>
      <c r="C270" s="1866" t="s">
        <v>3061</v>
      </c>
      <c r="D270" s="1866" t="s">
        <v>3062</v>
      </c>
      <c r="E270" s="1866" t="s">
        <v>3063</v>
      </c>
      <c r="F270" s="1866" t="s">
        <v>2464</v>
      </c>
      <c r="G270" s="1866" t="s">
        <v>28</v>
      </c>
      <c r="H270" s="1866" t="s">
        <v>28</v>
      </c>
      <c r="I270" s="1866" t="s">
        <v>1006</v>
      </c>
    </row>
    <row customHeight="1" ht="11.25">
      <c r="A271" s="1866" t="s">
        <v>2394</v>
      </c>
      <c r="B271" s="1866" t="s">
        <v>16</v>
      </c>
      <c r="C271" s="1866" t="s">
        <v>2735</v>
      </c>
      <c r="D271" s="1866" t="s">
        <v>2736</v>
      </c>
      <c r="E271" s="1866" t="s">
        <v>2737</v>
      </c>
      <c r="F271" s="1866" t="s">
        <v>2738</v>
      </c>
      <c r="G271" s="1866" t="s">
        <v>28</v>
      </c>
      <c r="H271" s="1866" t="s">
        <v>28</v>
      </c>
      <c r="I271" s="1866" t="s">
        <v>1006</v>
      </c>
    </row>
    <row customHeight="1" ht="11.25">
      <c r="A272" s="1866" t="s">
        <v>2394</v>
      </c>
      <c r="B272" s="1866" t="s">
        <v>16</v>
      </c>
      <c r="C272" s="1866" t="s">
        <v>3064</v>
      </c>
      <c r="D272" s="1866" t="s">
        <v>3065</v>
      </c>
      <c r="E272" s="1866" t="s">
        <v>3066</v>
      </c>
      <c r="F272" s="1866" t="s">
        <v>2431</v>
      </c>
      <c r="G272" s="1866" t="s">
        <v>28</v>
      </c>
      <c r="H272" s="1866" t="s">
        <v>3067</v>
      </c>
      <c r="I272" s="1866" t="s">
        <v>1006</v>
      </c>
    </row>
    <row customHeight="1" ht="11.25">
      <c r="A273" s="1866" t="s">
        <v>2394</v>
      </c>
      <c r="B273" s="1866" t="s">
        <v>16</v>
      </c>
      <c r="C273" s="1866" t="s">
        <v>3068</v>
      </c>
      <c r="D273" s="1866" t="s">
        <v>3069</v>
      </c>
      <c r="E273" s="1866" t="s">
        <v>3070</v>
      </c>
      <c r="F273" s="1866" t="s">
        <v>2630</v>
      </c>
      <c r="G273" s="1866" t="s">
        <v>28</v>
      </c>
      <c r="H273" s="1866" t="s">
        <v>28</v>
      </c>
      <c r="I273" s="1866" t="s">
        <v>1006</v>
      </c>
    </row>
    <row customHeight="1" ht="11.25">
      <c r="A274" s="1866" t="s">
        <v>2394</v>
      </c>
      <c r="B274" s="1866" t="s">
        <v>16</v>
      </c>
      <c r="C274" s="1866" t="s">
        <v>3071</v>
      </c>
      <c r="D274" s="1866" t="s">
        <v>3072</v>
      </c>
      <c r="E274" s="1866" t="s">
        <v>3073</v>
      </c>
      <c r="F274" s="1866" t="s">
        <v>2401</v>
      </c>
      <c r="G274" s="1866" t="s">
        <v>28</v>
      </c>
      <c r="H274" s="1866" t="s">
        <v>28</v>
      </c>
      <c r="I274" s="1866" t="s">
        <v>1006</v>
      </c>
    </row>
    <row customHeight="1" ht="11.25">
      <c r="A275" s="1866" t="s">
        <v>2394</v>
      </c>
      <c r="B275" s="1866" t="s">
        <v>16</v>
      </c>
      <c r="C275" s="1866" t="s">
        <v>3074</v>
      </c>
      <c r="D275" s="1866" t="s">
        <v>3075</v>
      </c>
      <c r="E275" s="1866" t="s">
        <v>3076</v>
      </c>
      <c r="F275" s="1866" t="s">
        <v>2724</v>
      </c>
      <c r="G275" s="1866" t="s">
        <v>28</v>
      </c>
      <c r="H275" s="1866" t="s">
        <v>28</v>
      </c>
      <c r="I275" s="1866" t="s">
        <v>1006</v>
      </c>
    </row>
    <row customHeight="1" ht="11.25">
      <c r="A276" s="1866" t="s">
        <v>2394</v>
      </c>
      <c r="B276" s="1866" t="s">
        <v>16</v>
      </c>
      <c r="C276" s="1866" t="s">
        <v>3077</v>
      </c>
      <c r="D276" s="1866" t="s">
        <v>3078</v>
      </c>
      <c r="E276" s="1866" t="s">
        <v>3079</v>
      </c>
      <c r="F276" s="1866" t="s">
        <v>2509</v>
      </c>
      <c r="G276" s="1866" t="s">
        <v>28</v>
      </c>
      <c r="H276" s="1866" t="s">
        <v>28</v>
      </c>
      <c r="I276" s="1866" t="s">
        <v>1006</v>
      </c>
    </row>
    <row customHeight="1" ht="11.25">
      <c r="A277" s="1866" t="s">
        <v>2394</v>
      </c>
      <c r="B277" s="1866" t="s">
        <v>16</v>
      </c>
      <c r="C277" s="1866" t="s">
        <v>3080</v>
      </c>
      <c r="D277" s="1866" t="s">
        <v>3081</v>
      </c>
      <c r="E277" s="1866" t="s">
        <v>3082</v>
      </c>
      <c r="F277" s="1866" t="s">
        <v>2397</v>
      </c>
      <c r="G277" s="1866" t="s">
        <v>28</v>
      </c>
      <c r="H277" s="1866" t="s">
        <v>28</v>
      </c>
      <c r="I277" s="1866" t="s">
        <v>1006</v>
      </c>
    </row>
    <row customHeight="1" ht="11.25">
      <c r="A278" s="1866" t="s">
        <v>2394</v>
      </c>
      <c r="B278" s="1866" t="s">
        <v>16</v>
      </c>
      <c r="C278" s="1866" t="s">
        <v>3083</v>
      </c>
      <c r="D278" s="1866" t="s">
        <v>3084</v>
      </c>
      <c r="E278" s="1866" t="s">
        <v>3085</v>
      </c>
      <c r="F278" s="1866" t="s">
        <v>2464</v>
      </c>
      <c r="G278" s="1866" t="s">
        <v>28</v>
      </c>
      <c r="H278" s="1866" t="s">
        <v>28</v>
      </c>
      <c r="I278" s="1866" t="s">
        <v>1006</v>
      </c>
    </row>
    <row customHeight="1" ht="11.25">
      <c r="A279" s="1866" t="s">
        <v>2394</v>
      </c>
      <c r="B279" s="1866" t="s">
        <v>16</v>
      </c>
      <c r="C279" s="1866" t="s">
        <v>3086</v>
      </c>
      <c r="D279" s="1866" t="s">
        <v>3087</v>
      </c>
      <c r="E279" s="1866" t="s">
        <v>3088</v>
      </c>
      <c r="F279" s="1866" t="s">
        <v>2455</v>
      </c>
      <c r="G279" s="1866" t="s">
        <v>3089</v>
      </c>
      <c r="H279" s="1866" t="s">
        <v>28</v>
      </c>
      <c r="I279" s="1866" t="s">
        <v>1006</v>
      </c>
    </row>
    <row customHeight="1" ht="11.25">
      <c r="A280" s="1866" t="s">
        <v>2394</v>
      </c>
      <c r="B280" s="1866" t="s">
        <v>16</v>
      </c>
      <c r="C280" s="1866" t="s">
        <v>3090</v>
      </c>
      <c r="D280" s="1866" t="s">
        <v>3091</v>
      </c>
      <c r="E280" s="1866" t="s">
        <v>2396</v>
      </c>
      <c r="F280" s="1866" t="s">
        <v>2397</v>
      </c>
      <c r="G280" s="1866" t="s">
        <v>28</v>
      </c>
      <c r="H280" s="1866" t="s">
        <v>28</v>
      </c>
      <c r="I280" s="1866" t="s">
        <v>1006</v>
      </c>
    </row>
    <row customHeight="1" ht="11.25">
      <c r="A281" s="1866" t="s">
        <v>2394</v>
      </c>
      <c r="B281" s="1866" t="s">
        <v>16</v>
      </c>
      <c r="C281" s="1866" t="s">
        <v>3092</v>
      </c>
      <c r="D281" s="1866" t="s">
        <v>3093</v>
      </c>
      <c r="E281" s="1866" t="s">
        <v>3094</v>
      </c>
      <c r="F281" s="1866" t="s">
        <v>2401</v>
      </c>
      <c r="G281" s="1866" t="s">
        <v>28</v>
      </c>
      <c r="H281" s="1866" t="s">
        <v>28</v>
      </c>
      <c r="I281" s="1866" t="s">
        <v>1006</v>
      </c>
    </row>
    <row customHeight="1" ht="11.25">
      <c r="A282" s="1866" t="s">
        <v>2394</v>
      </c>
      <c r="B282" s="1866" t="s">
        <v>16</v>
      </c>
      <c r="C282" s="1866" t="s">
        <v>3095</v>
      </c>
      <c r="D282" s="1866" t="s">
        <v>3096</v>
      </c>
      <c r="E282" s="1866" t="s">
        <v>3097</v>
      </c>
      <c r="F282" s="1866" t="s">
        <v>2401</v>
      </c>
      <c r="G282" s="1866" t="s">
        <v>28</v>
      </c>
      <c r="H282" s="1866" t="s">
        <v>28</v>
      </c>
      <c r="I282" s="1866" t="s">
        <v>1006</v>
      </c>
    </row>
    <row customHeight="1" ht="11.25">
      <c r="A283" s="1866" t="s">
        <v>2394</v>
      </c>
      <c r="B283" s="1866" t="s">
        <v>16</v>
      </c>
      <c r="C283" s="1866" t="s">
        <v>2742</v>
      </c>
      <c r="D283" s="1866" t="s">
        <v>2743</v>
      </c>
      <c r="E283" s="1866" t="s">
        <v>2744</v>
      </c>
      <c r="F283" s="1866" t="s">
        <v>2414</v>
      </c>
      <c r="G283" s="1866" t="s">
        <v>28</v>
      </c>
      <c r="H283" s="1866" t="s">
        <v>28</v>
      </c>
      <c r="I283" s="1866" t="s">
        <v>1006</v>
      </c>
    </row>
    <row customHeight="1" ht="11.25">
      <c r="A284" s="1866" t="s">
        <v>2394</v>
      </c>
      <c r="B284" s="1866" t="s">
        <v>16</v>
      </c>
      <c r="C284" s="1866" t="s">
        <v>2753</v>
      </c>
      <c r="D284" s="1866" t="s">
        <v>2754</v>
      </c>
      <c r="E284" s="1866" t="s">
        <v>2755</v>
      </c>
      <c r="F284" s="1866" t="s">
        <v>2724</v>
      </c>
      <c r="G284" s="1866" t="s">
        <v>2756</v>
      </c>
      <c r="H284" s="1866" t="s">
        <v>28</v>
      </c>
      <c r="I284" s="1866" t="s">
        <v>1006</v>
      </c>
    </row>
    <row customHeight="1" ht="11.25">
      <c r="A285" s="1866" t="s">
        <v>2394</v>
      </c>
      <c r="B285" s="1866" t="s">
        <v>16</v>
      </c>
      <c r="C285" s="1866" t="s">
        <v>2757</v>
      </c>
      <c r="D285" s="1866" t="s">
        <v>2758</v>
      </c>
      <c r="E285" s="1866" t="s">
        <v>2759</v>
      </c>
      <c r="F285" s="1866" t="s">
        <v>2455</v>
      </c>
      <c r="G285" s="1866" t="s">
        <v>2760</v>
      </c>
      <c r="H285" s="1866" t="s">
        <v>28</v>
      </c>
      <c r="I285" s="1866" t="s">
        <v>1006</v>
      </c>
    </row>
    <row customHeight="1" ht="11.25">
      <c r="A286" s="1866" t="s">
        <v>2394</v>
      </c>
      <c r="B286" s="1866" t="s">
        <v>16</v>
      </c>
      <c r="C286" s="1866" t="s">
        <v>3098</v>
      </c>
      <c r="D286" s="1866" t="s">
        <v>3099</v>
      </c>
      <c r="E286" s="1866" t="s">
        <v>3100</v>
      </c>
      <c r="F286" s="1866" t="s">
        <v>2509</v>
      </c>
      <c r="G286" s="1866" t="s">
        <v>28</v>
      </c>
      <c r="H286" s="1866" t="s">
        <v>28</v>
      </c>
      <c r="I286" s="1866" t="s">
        <v>1006</v>
      </c>
    </row>
    <row customHeight="1" ht="11.25">
      <c r="A287" s="1866" t="s">
        <v>2394</v>
      </c>
      <c r="B287" s="1866" t="s">
        <v>16</v>
      </c>
      <c r="C287" s="1866" t="s">
        <v>3101</v>
      </c>
      <c r="D287" s="1866" t="s">
        <v>3102</v>
      </c>
      <c r="E287" s="1866" t="s">
        <v>3103</v>
      </c>
      <c r="F287" s="1866" t="s">
        <v>2630</v>
      </c>
      <c r="G287" s="1866" t="s">
        <v>28</v>
      </c>
      <c r="H287" s="1866" t="s">
        <v>28</v>
      </c>
      <c r="I287" s="1866" t="s">
        <v>1006</v>
      </c>
    </row>
    <row customHeight="1" ht="11.25">
      <c r="A288" s="1866" t="s">
        <v>2394</v>
      </c>
      <c r="B288" s="1866" t="s">
        <v>16</v>
      </c>
      <c r="C288" s="1866" t="s">
        <v>3104</v>
      </c>
      <c r="D288" s="1866" t="s">
        <v>3105</v>
      </c>
      <c r="E288" s="1866" t="s">
        <v>3106</v>
      </c>
      <c r="F288" s="1866" t="s">
        <v>3107</v>
      </c>
      <c r="G288" s="1866" t="s">
        <v>28</v>
      </c>
      <c r="H288" s="1866" t="s">
        <v>28</v>
      </c>
      <c r="I288" s="1866" t="s">
        <v>1006</v>
      </c>
    </row>
    <row customHeight="1" ht="11.25">
      <c r="A289" s="1866" t="s">
        <v>2394</v>
      </c>
      <c r="B289" s="1866" t="s">
        <v>16</v>
      </c>
      <c r="C289" s="1866" t="s">
        <v>3108</v>
      </c>
      <c r="D289" s="1866" t="s">
        <v>3109</v>
      </c>
      <c r="E289" s="1866" t="s">
        <v>3110</v>
      </c>
      <c r="F289" s="1866" t="s">
        <v>2540</v>
      </c>
      <c r="G289" s="1866" t="s">
        <v>28</v>
      </c>
      <c r="H289" s="1866" t="s">
        <v>28</v>
      </c>
      <c r="I289" s="1866" t="s">
        <v>1006</v>
      </c>
    </row>
    <row customHeight="1" ht="11.25">
      <c r="A290" s="1866" t="s">
        <v>2394</v>
      </c>
      <c r="B290" s="1866" t="s">
        <v>16</v>
      </c>
      <c r="C290" s="1866" t="s">
        <v>2771</v>
      </c>
      <c r="D290" s="1866" t="s">
        <v>2772</v>
      </c>
      <c r="E290" s="1866" t="s">
        <v>2773</v>
      </c>
      <c r="F290" s="1866" t="s">
        <v>2605</v>
      </c>
      <c r="G290" s="1866" t="s">
        <v>28</v>
      </c>
      <c r="H290" s="1866" t="s">
        <v>28</v>
      </c>
      <c r="I290" s="1866" t="s">
        <v>1006</v>
      </c>
    </row>
    <row customHeight="1" ht="11.25">
      <c r="A291" s="1866" t="s">
        <v>2394</v>
      </c>
      <c r="B291" s="1866" t="s">
        <v>16</v>
      </c>
      <c r="C291" s="1866" t="s">
        <v>2774</v>
      </c>
      <c r="D291" s="1866" t="s">
        <v>2775</v>
      </c>
      <c r="E291" s="1866" t="s">
        <v>2776</v>
      </c>
      <c r="F291" s="1866" t="s">
        <v>2777</v>
      </c>
      <c r="G291" s="1866" t="s">
        <v>2778</v>
      </c>
      <c r="H291" s="1866" t="s">
        <v>28</v>
      </c>
      <c r="I291" s="1866" t="s">
        <v>1006</v>
      </c>
    </row>
    <row customHeight="1" ht="11.25">
      <c r="A292" s="1866" t="s">
        <v>2394</v>
      </c>
      <c r="B292" s="1866" t="s">
        <v>16</v>
      </c>
      <c r="C292" s="1866" t="s">
        <v>2779</v>
      </c>
      <c r="D292" s="1866" t="s">
        <v>2780</v>
      </c>
      <c r="E292" s="1866" t="s">
        <v>2781</v>
      </c>
      <c r="F292" s="1866" t="s">
        <v>2605</v>
      </c>
      <c r="G292" s="1866" t="s">
        <v>28</v>
      </c>
      <c r="H292" s="1866" t="s">
        <v>28</v>
      </c>
      <c r="I292" s="1866" t="s">
        <v>1006</v>
      </c>
    </row>
    <row customHeight="1" ht="11.25">
      <c r="A293" s="1866" t="s">
        <v>2394</v>
      </c>
      <c r="B293" s="1866" t="s">
        <v>16</v>
      </c>
      <c r="C293" s="1866" t="s">
        <v>2785</v>
      </c>
      <c r="D293" s="1866" t="s">
        <v>2786</v>
      </c>
      <c r="E293" s="1866" t="s">
        <v>2787</v>
      </c>
      <c r="F293" s="1866" t="s">
        <v>2540</v>
      </c>
      <c r="G293" s="1866" t="s">
        <v>28</v>
      </c>
      <c r="H293" s="1866" t="s">
        <v>28</v>
      </c>
      <c r="I293" s="1866" t="s">
        <v>1006</v>
      </c>
    </row>
    <row customHeight="1" ht="11.25">
      <c r="A294" s="1866" t="s">
        <v>2394</v>
      </c>
      <c r="B294" s="1866" t="s">
        <v>16</v>
      </c>
      <c r="C294" s="1866" t="s">
        <v>3111</v>
      </c>
      <c r="D294" s="1866" t="s">
        <v>3112</v>
      </c>
      <c r="E294" s="1866" t="s">
        <v>3113</v>
      </c>
      <c r="F294" s="1866" t="s">
        <v>2922</v>
      </c>
      <c r="G294" s="1866" t="s">
        <v>28</v>
      </c>
      <c r="H294" s="1866" t="s">
        <v>28</v>
      </c>
      <c r="I294" s="1866" t="s">
        <v>1006</v>
      </c>
    </row>
    <row customHeight="1" ht="11.25">
      <c r="A295" s="1866" t="s">
        <v>2394</v>
      </c>
      <c r="B295" s="1866" t="s">
        <v>16</v>
      </c>
      <c r="C295" s="1866" t="s">
        <v>3114</v>
      </c>
      <c r="D295" s="1866" t="s">
        <v>3115</v>
      </c>
      <c r="E295" s="1866" t="s">
        <v>3116</v>
      </c>
      <c r="F295" s="1866" t="s">
        <v>2922</v>
      </c>
      <c r="G295" s="1866" t="s">
        <v>28</v>
      </c>
      <c r="H295" s="1866" t="s">
        <v>28</v>
      </c>
      <c r="I295" s="1866" t="s">
        <v>1006</v>
      </c>
    </row>
    <row customHeight="1" ht="11.25">
      <c r="A296" s="1866" t="s">
        <v>2394</v>
      </c>
      <c r="B296" s="1866" t="s">
        <v>16</v>
      </c>
      <c r="C296" s="1866" t="s">
        <v>3117</v>
      </c>
      <c r="D296" s="1866" t="s">
        <v>3118</v>
      </c>
      <c r="E296" s="1866" t="s">
        <v>3119</v>
      </c>
      <c r="F296" s="1866" t="s">
        <v>2431</v>
      </c>
      <c r="G296" s="1866" t="s">
        <v>28</v>
      </c>
      <c r="H296" s="1866" t="s">
        <v>28</v>
      </c>
      <c r="I296" s="1866" t="s">
        <v>1006</v>
      </c>
    </row>
    <row customHeight="1" ht="11.25">
      <c r="A297" s="1866" t="s">
        <v>2394</v>
      </c>
      <c r="B297" s="1866" t="s">
        <v>16</v>
      </c>
      <c r="C297" s="1866" t="s">
        <v>3120</v>
      </c>
      <c r="D297" s="1866" t="s">
        <v>3121</v>
      </c>
      <c r="E297" s="1866" t="s">
        <v>3122</v>
      </c>
      <c r="F297" s="1866" t="s">
        <v>2794</v>
      </c>
      <c r="G297" s="1866" t="s">
        <v>28</v>
      </c>
      <c r="H297" s="1866" t="s">
        <v>28</v>
      </c>
      <c r="I297" s="1866" t="s">
        <v>1006</v>
      </c>
    </row>
    <row customHeight="1" ht="11.25">
      <c r="A298" s="1866" t="s">
        <v>2394</v>
      </c>
      <c r="B298" s="1866" t="s">
        <v>16</v>
      </c>
      <c r="C298" s="1866" t="s">
        <v>3123</v>
      </c>
      <c r="D298" s="1866" t="s">
        <v>3124</v>
      </c>
      <c r="E298" s="1866" t="s">
        <v>3125</v>
      </c>
      <c r="F298" s="1866" t="s">
        <v>2591</v>
      </c>
      <c r="G298" s="1866" t="s">
        <v>28</v>
      </c>
      <c r="H298" s="1866" t="s">
        <v>28</v>
      </c>
      <c r="I298" s="1866" t="s">
        <v>1006</v>
      </c>
    </row>
    <row customHeight="1" ht="11.25">
      <c r="A299" s="1866" t="s">
        <v>2394</v>
      </c>
      <c r="B299" s="1866" t="s">
        <v>16</v>
      </c>
      <c r="C299" s="1866" t="s">
        <v>2791</v>
      </c>
      <c r="D299" s="1866" t="s">
        <v>2792</v>
      </c>
      <c r="E299" s="1866" t="s">
        <v>2793</v>
      </c>
      <c r="F299" s="1866" t="s">
        <v>2794</v>
      </c>
      <c r="G299" s="1866" t="s">
        <v>28</v>
      </c>
      <c r="H299" s="1866" t="s">
        <v>28</v>
      </c>
      <c r="I299" s="1866" t="s">
        <v>1006</v>
      </c>
    </row>
    <row customHeight="1" ht="11.25">
      <c r="A300" s="1866" t="s">
        <v>2394</v>
      </c>
      <c r="B300" s="1866" t="s">
        <v>16</v>
      </c>
      <c r="C300" s="1866" t="s">
        <v>3126</v>
      </c>
      <c r="D300" s="1866" t="s">
        <v>3127</v>
      </c>
      <c r="E300" s="1866" t="s">
        <v>3128</v>
      </c>
      <c r="F300" s="1866" t="s">
        <v>2540</v>
      </c>
      <c r="G300" s="1866" t="s">
        <v>28</v>
      </c>
      <c r="H300" s="1866" t="s">
        <v>28</v>
      </c>
      <c r="I300" s="1866" t="s">
        <v>1006</v>
      </c>
    </row>
    <row customHeight="1" ht="11.25">
      <c r="A301" s="1866" t="s">
        <v>2394</v>
      </c>
      <c r="B301" s="1866" t="s">
        <v>16</v>
      </c>
      <c r="C301" s="1866" t="s">
        <v>3129</v>
      </c>
      <c r="D301" s="1866" t="s">
        <v>3130</v>
      </c>
      <c r="E301" s="1866" t="s">
        <v>3131</v>
      </c>
      <c r="F301" s="1866" t="s">
        <v>2978</v>
      </c>
      <c r="G301" s="1866" t="s">
        <v>3132</v>
      </c>
      <c r="H301" s="1866" t="s">
        <v>28</v>
      </c>
      <c r="I301" s="1866" t="s">
        <v>1006</v>
      </c>
    </row>
    <row customHeight="1" ht="11.25">
      <c r="A302" s="1866" t="s">
        <v>2394</v>
      </c>
      <c r="B302" s="1866" t="s">
        <v>16</v>
      </c>
      <c r="C302" s="1866" t="s">
        <v>3133</v>
      </c>
      <c r="D302" s="1866" t="s">
        <v>3134</v>
      </c>
      <c r="E302" s="1866" t="s">
        <v>3135</v>
      </c>
      <c r="F302" s="1866" t="s">
        <v>2509</v>
      </c>
      <c r="G302" s="1866" t="s">
        <v>28</v>
      </c>
      <c r="H302" s="1866" t="s">
        <v>28</v>
      </c>
      <c r="I302" s="1866" t="s">
        <v>1006</v>
      </c>
    </row>
    <row customHeight="1" ht="11.25">
      <c r="A303" s="1866" t="s">
        <v>2394</v>
      </c>
      <c r="B303" s="1866" t="s">
        <v>16</v>
      </c>
      <c r="C303" s="1866" t="s">
        <v>3136</v>
      </c>
      <c r="D303" s="1866" t="s">
        <v>3137</v>
      </c>
      <c r="E303" s="1866" t="s">
        <v>3138</v>
      </c>
      <c r="F303" s="1866" t="s">
        <v>2532</v>
      </c>
      <c r="G303" s="1866" t="s">
        <v>28</v>
      </c>
      <c r="H303" s="1866" t="s">
        <v>28</v>
      </c>
      <c r="I303" s="1866" t="s">
        <v>1006</v>
      </c>
    </row>
    <row customHeight="1" ht="11.25">
      <c r="A304" s="1866" t="s">
        <v>2394</v>
      </c>
      <c r="B304" s="1866" t="s">
        <v>16</v>
      </c>
      <c r="C304" s="1866" t="s">
        <v>3139</v>
      </c>
      <c r="D304" s="1866" t="s">
        <v>3140</v>
      </c>
      <c r="E304" s="1866" t="s">
        <v>3141</v>
      </c>
      <c r="F304" s="1866" t="s">
        <v>2401</v>
      </c>
      <c r="G304" s="1866" t="s">
        <v>28</v>
      </c>
      <c r="H304" s="1866" t="s">
        <v>28</v>
      </c>
      <c r="I304" s="1866" t="s">
        <v>1006</v>
      </c>
    </row>
    <row customHeight="1" ht="11.25">
      <c r="A305" s="1866" t="s">
        <v>2394</v>
      </c>
      <c r="B305" s="1866" t="s">
        <v>16</v>
      </c>
      <c r="C305" s="1866" t="s">
        <v>3142</v>
      </c>
      <c r="D305" s="1866" t="s">
        <v>3143</v>
      </c>
      <c r="E305" s="1866" t="s">
        <v>3144</v>
      </c>
      <c r="F305" s="1866" t="s">
        <v>2564</v>
      </c>
      <c r="G305" s="1866" t="s">
        <v>28</v>
      </c>
      <c r="H305" s="1866" t="s">
        <v>28</v>
      </c>
      <c r="I305" s="1866" t="s">
        <v>1006</v>
      </c>
    </row>
    <row customHeight="1" ht="11.25">
      <c r="A306" s="1866" t="s">
        <v>2394</v>
      </c>
      <c r="B306" s="1866" t="s">
        <v>16</v>
      </c>
      <c r="C306" s="1866" t="s">
        <v>3145</v>
      </c>
      <c r="D306" s="1866" t="s">
        <v>3146</v>
      </c>
      <c r="E306" s="1866" t="s">
        <v>3147</v>
      </c>
      <c r="F306" s="1866" t="s">
        <v>2922</v>
      </c>
      <c r="G306" s="1866" t="s">
        <v>3148</v>
      </c>
      <c r="H306" s="1866" t="s">
        <v>28</v>
      </c>
      <c r="I306" s="1866" t="s">
        <v>1006</v>
      </c>
    </row>
    <row customHeight="1" ht="11.25">
      <c r="A307" s="1866" t="s">
        <v>2394</v>
      </c>
      <c r="B307" s="1866" t="s">
        <v>16</v>
      </c>
      <c r="C307" s="1866" t="s">
        <v>3149</v>
      </c>
      <c r="D307" s="1866" t="s">
        <v>3150</v>
      </c>
      <c r="E307" s="1866" t="s">
        <v>3151</v>
      </c>
      <c r="F307" s="1866" t="s">
        <v>2464</v>
      </c>
      <c r="G307" s="1866" t="s">
        <v>28</v>
      </c>
      <c r="H307" s="1866" t="s">
        <v>28</v>
      </c>
      <c r="I307" s="1866" t="s">
        <v>1006</v>
      </c>
    </row>
    <row customHeight="1" ht="11.25">
      <c r="A308" s="1866" t="s">
        <v>2394</v>
      </c>
      <c r="B308" s="1866" t="s">
        <v>16</v>
      </c>
      <c r="C308" s="1866" t="s">
        <v>2821</v>
      </c>
      <c r="D308" s="1866" t="s">
        <v>2822</v>
      </c>
      <c r="E308" s="1866" t="s">
        <v>2823</v>
      </c>
      <c r="F308" s="1866" t="s">
        <v>2431</v>
      </c>
      <c r="G308" s="1866" t="s">
        <v>28</v>
      </c>
      <c r="H308" s="1866" t="s">
        <v>28</v>
      </c>
      <c r="I308" s="1866" t="s">
        <v>1006</v>
      </c>
    </row>
    <row customHeight="1" ht="11.25">
      <c r="A309" s="1866" t="s">
        <v>2394</v>
      </c>
      <c r="B309" s="1866" t="s">
        <v>16</v>
      </c>
      <c r="C309" s="1866" t="s">
        <v>28</v>
      </c>
      <c r="D309" s="1866" t="s">
        <v>2395</v>
      </c>
      <c r="E309" s="1866" t="s">
        <v>2396</v>
      </c>
      <c r="F309" s="1866" t="s">
        <v>2397</v>
      </c>
      <c r="G309" s="1866" t="s">
        <v>28</v>
      </c>
      <c r="H309" s="1866" t="s">
        <v>28</v>
      </c>
      <c r="I309" s="1866" t="s">
        <v>1059</v>
      </c>
    </row>
    <row customHeight="1" ht="11.25">
      <c r="A310" s="1866" t="s">
        <v>2394</v>
      </c>
      <c r="B310" s="1866" t="s">
        <v>16</v>
      </c>
      <c r="C310" s="1866" t="s">
        <v>2398</v>
      </c>
      <c r="D310" s="1866" t="s">
        <v>2399</v>
      </c>
      <c r="E310" s="1866" t="s">
        <v>2400</v>
      </c>
      <c r="F310" s="1866" t="s">
        <v>2401</v>
      </c>
      <c r="G310" s="1866" t="s">
        <v>28</v>
      </c>
      <c r="H310" s="1866" t="s">
        <v>28</v>
      </c>
      <c r="I310" s="1866" t="s">
        <v>1059</v>
      </c>
    </row>
    <row customHeight="1" ht="11.25">
      <c r="A311" s="1866" t="s">
        <v>2394</v>
      </c>
      <c r="B311" s="1866" t="s">
        <v>16</v>
      </c>
      <c r="C311" s="1866" t="s">
        <v>2411</v>
      </c>
      <c r="D311" s="1866" t="s">
        <v>2412</v>
      </c>
      <c r="E311" s="1866" t="s">
        <v>2413</v>
      </c>
      <c r="F311" s="1866" t="s">
        <v>2414</v>
      </c>
      <c r="G311" s="1866" t="s">
        <v>28</v>
      </c>
      <c r="H311" s="1866" t="s">
        <v>28</v>
      </c>
      <c r="I311" s="1866" t="s">
        <v>1059</v>
      </c>
    </row>
    <row customHeight="1" ht="11.25">
      <c r="A312" s="1866" t="s">
        <v>2394</v>
      </c>
      <c r="B312" s="1866" t="s">
        <v>16</v>
      </c>
      <c r="C312" s="1866" t="s">
        <v>2419</v>
      </c>
      <c r="D312" s="1866" t="s">
        <v>2416</v>
      </c>
      <c r="E312" s="1866" t="s">
        <v>2417</v>
      </c>
      <c r="F312" s="1866" t="s">
        <v>2420</v>
      </c>
      <c r="G312" s="1866" t="s">
        <v>2421</v>
      </c>
      <c r="H312" s="1866" t="s">
        <v>28</v>
      </c>
      <c r="I312" s="1866" t="s">
        <v>1059</v>
      </c>
    </row>
    <row customHeight="1" ht="11.25">
      <c r="A313" s="1866" t="s">
        <v>2394</v>
      </c>
      <c r="B313" s="1866" t="s">
        <v>16</v>
      </c>
      <c r="C313" s="1866" t="s">
        <v>2428</v>
      </c>
      <c r="D313" s="1866" t="s">
        <v>2429</v>
      </c>
      <c r="E313" s="1866" t="s">
        <v>2430</v>
      </c>
      <c r="F313" s="1866" t="s">
        <v>2431</v>
      </c>
      <c r="G313" s="1866" t="s">
        <v>28</v>
      </c>
      <c r="H313" s="1866" t="s">
        <v>28</v>
      </c>
      <c r="I313" s="1866" t="s">
        <v>1059</v>
      </c>
    </row>
    <row customHeight="1" ht="11.25">
      <c r="A314" s="1866" t="s">
        <v>2394</v>
      </c>
      <c r="B314" s="1866" t="s">
        <v>16</v>
      </c>
      <c r="C314" s="1866" t="s">
        <v>2440</v>
      </c>
      <c r="D314" s="1866" t="s">
        <v>2441</v>
      </c>
      <c r="E314" s="1866" t="s">
        <v>2442</v>
      </c>
      <c r="F314" s="1866" t="s">
        <v>2443</v>
      </c>
      <c r="G314" s="1866" t="s">
        <v>28</v>
      </c>
      <c r="H314" s="1866" t="s">
        <v>28</v>
      </c>
      <c r="I314" s="1866" t="s">
        <v>1059</v>
      </c>
    </row>
    <row customHeight="1" ht="11.25">
      <c r="A315" s="1866" t="s">
        <v>2394</v>
      </c>
      <c r="B315" s="1866" t="s">
        <v>16</v>
      </c>
      <c r="C315" s="1866" t="s">
        <v>2846</v>
      </c>
      <c r="D315" s="1866" t="s">
        <v>2847</v>
      </c>
      <c r="E315" s="1866" t="s">
        <v>2848</v>
      </c>
      <c r="F315" s="1866" t="s">
        <v>2643</v>
      </c>
      <c r="G315" s="1866" t="s">
        <v>2849</v>
      </c>
      <c r="H315" s="1866" t="s">
        <v>28</v>
      </c>
      <c r="I315" s="1866" t="s">
        <v>1059</v>
      </c>
    </row>
    <row customHeight="1" ht="11.25">
      <c r="A316" s="1866" t="s">
        <v>2394</v>
      </c>
      <c r="B316" s="1866" t="s">
        <v>16</v>
      </c>
      <c r="C316" s="1866" t="s">
        <v>3152</v>
      </c>
      <c r="D316" s="1866" t="s">
        <v>3153</v>
      </c>
      <c r="E316" s="1866" t="s">
        <v>3154</v>
      </c>
      <c r="F316" s="1866" t="s">
        <v>2397</v>
      </c>
      <c r="G316" s="1866" t="s">
        <v>28</v>
      </c>
      <c r="H316" s="1866" t="s">
        <v>28</v>
      </c>
      <c r="I316" s="1866" t="s">
        <v>1059</v>
      </c>
    </row>
    <row customHeight="1" ht="11.25">
      <c r="A317" s="1866" t="s">
        <v>2394</v>
      </c>
      <c r="B317" s="1866" t="s">
        <v>16</v>
      </c>
      <c r="C317" s="1866" t="s">
        <v>2449</v>
      </c>
      <c r="D317" s="1866" t="s">
        <v>2450</v>
      </c>
      <c r="E317" s="1866" t="s">
        <v>2451</v>
      </c>
      <c r="F317" s="1866" t="s">
        <v>2405</v>
      </c>
      <c r="G317" s="1866" t="s">
        <v>28</v>
      </c>
      <c r="H317" s="1866" t="s">
        <v>28</v>
      </c>
      <c r="I317" s="1866" t="s">
        <v>1059</v>
      </c>
    </row>
    <row customHeight="1" ht="11.25">
      <c r="A318" s="1866" t="s">
        <v>2394</v>
      </c>
      <c r="B318" s="1866" t="s">
        <v>16</v>
      </c>
      <c r="C318" s="1866" t="s">
        <v>2452</v>
      </c>
      <c r="D318" s="1866" t="s">
        <v>2453</v>
      </c>
      <c r="E318" s="1866" t="s">
        <v>2454</v>
      </c>
      <c r="F318" s="1866" t="s">
        <v>2455</v>
      </c>
      <c r="G318" s="1866" t="s">
        <v>28</v>
      </c>
      <c r="H318" s="1866" t="s">
        <v>28</v>
      </c>
      <c r="I318" s="1866" t="s">
        <v>1059</v>
      </c>
    </row>
    <row customHeight="1" ht="11.25">
      <c r="A319" s="1866" t="s">
        <v>2394</v>
      </c>
      <c r="B319" s="1866" t="s">
        <v>16</v>
      </c>
      <c r="C319" s="1866" t="s">
        <v>3155</v>
      </c>
      <c r="D319" s="1866" t="s">
        <v>3156</v>
      </c>
      <c r="E319" s="1866" t="s">
        <v>3157</v>
      </c>
      <c r="F319" s="1866" t="s">
        <v>2401</v>
      </c>
      <c r="G319" s="1866" t="s">
        <v>3158</v>
      </c>
      <c r="H319" s="1866" t="s">
        <v>28</v>
      </c>
      <c r="I319" s="1866" t="s">
        <v>1059</v>
      </c>
    </row>
    <row customHeight="1" ht="11.25">
      <c r="A320" s="1866" t="s">
        <v>2394</v>
      </c>
      <c r="B320" s="1866" t="s">
        <v>16</v>
      </c>
      <c r="C320" s="1866" t="s">
        <v>2850</v>
      </c>
      <c r="D320" s="1866" t="s">
        <v>2851</v>
      </c>
      <c r="E320" s="1866" t="s">
        <v>2852</v>
      </c>
      <c r="F320" s="1866" t="s">
        <v>2431</v>
      </c>
      <c r="G320" s="1866" t="s">
        <v>2853</v>
      </c>
      <c r="H320" s="1866" t="s">
        <v>28</v>
      </c>
      <c r="I320" s="1866" t="s">
        <v>1059</v>
      </c>
    </row>
    <row customHeight="1" ht="11.25">
      <c r="A321" s="1866" t="s">
        <v>2394</v>
      </c>
      <c r="B321" s="1866" t="s">
        <v>16</v>
      </c>
      <c r="C321" s="1866" t="s">
        <v>2854</v>
      </c>
      <c r="D321" s="1866" t="s">
        <v>2855</v>
      </c>
      <c r="E321" s="1866" t="s">
        <v>2856</v>
      </c>
      <c r="F321" s="1866" t="s">
        <v>2405</v>
      </c>
      <c r="G321" s="1866" t="s">
        <v>28</v>
      </c>
      <c r="H321" s="1866" t="s">
        <v>28</v>
      </c>
      <c r="I321" s="1866" t="s">
        <v>1059</v>
      </c>
    </row>
    <row customHeight="1" ht="11.25">
      <c r="A322" s="1866" t="s">
        <v>2394</v>
      </c>
      <c r="B322" s="1866" t="s">
        <v>16</v>
      </c>
      <c r="C322" s="1866" t="s">
        <v>2469</v>
      </c>
      <c r="D322" s="1866" t="s">
        <v>2470</v>
      </c>
      <c r="E322" s="1866" t="s">
        <v>2471</v>
      </c>
      <c r="F322" s="1866" t="s">
        <v>2472</v>
      </c>
      <c r="G322" s="1866" t="s">
        <v>28</v>
      </c>
      <c r="H322" s="1866" t="s">
        <v>28</v>
      </c>
      <c r="I322" s="1866" t="s">
        <v>1059</v>
      </c>
    </row>
    <row customHeight="1" ht="11.25">
      <c r="A323" s="1866" t="s">
        <v>2394</v>
      </c>
      <c r="B323" s="1866" t="s">
        <v>16</v>
      </c>
      <c r="C323" s="1866" t="s">
        <v>2857</v>
      </c>
      <c r="D323" s="1866" t="s">
        <v>2858</v>
      </c>
      <c r="E323" s="1866" t="s">
        <v>2859</v>
      </c>
      <c r="F323" s="1866" t="s">
        <v>2820</v>
      </c>
      <c r="G323" s="1866" t="s">
        <v>2860</v>
      </c>
      <c r="H323" s="1866" t="s">
        <v>28</v>
      </c>
      <c r="I323" s="1866" t="s">
        <v>1059</v>
      </c>
    </row>
    <row customHeight="1" ht="11.25">
      <c r="A324" s="1866" t="s">
        <v>2394</v>
      </c>
      <c r="B324" s="1866" t="s">
        <v>16</v>
      </c>
      <c r="C324" s="1866" t="s">
        <v>2481</v>
      </c>
      <c r="D324" s="1866" t="s">
        <v>2482</v>
      </c>
      <c r="E324" s="1866" t="s">
        <v>2483</v>
      </c>
      <c r="F324" s="1866" t="s">
        <v>2397</v>
      </c>
      <c r="G324" s="1866" t="s">
        <v>2484</v>
      </c>
      <c r="H324" s="1866" t="s">
        <v>28</v>
      </c>
      <c r="I324" s="1866" t="s">
        <v>1059</v>
      </c>
    </row>
    <row customHeight="1" ht="11.25">
      <c r="A325" s="1866" t="s">
        <v>2394</v>
      </c>
      <c r="B325" s="1866" t="s">
        <v>16</v>
      </c>
      <c r="C325" s="1866" t="s">
        <v>2861</v>
      </c>
      <c r="D325" s="1866" t="s">
        <v>2862</v>
      </c>
      <c r="E325" s="1866" t="s">
        <v>2863</v>
      </c>
      <c r="F325" s="1866" t="s">
        <v>2864</v>
      </c>
      <c r="G325" s="1866" t="s">
        <v>28</v>
      </c>
      <c r="H325" s="1866" t="s">
        <v>28</v>
      </c>
      <c r="I325" s="1866" t="s">
        <v>1059</v>
      </c>
    </row>
    <row customHeight="1" ht="11.25">
      <c r="A326" s="1866" t="s">
        <v>2394</v>
      </c>
      <c r="B326" s="1866" t="s">
        <v>16</v>
      </c>
      <c r="C326" s="1866" t="s">
        <v>2503</v>
      </c>
      <c r="D326" s="1866" t="s">
        <v>2504</v>
      </c>
      <c r="E326" s="1866" t="s">
        <v>2501</v>
      </c>
      <c r="F326" s="1866" t="s">
        <v>2505</v>
      </c>
      <c r="G326" s="1866" t="s">
        <v>28</v>
      </c>
      <c r="H326" s="1866" t="s">
        <v>28</v>
      </c>
      <c r="I326" s="1866" t="s">
        <v>1059</v>
      </c>
    </row>
    <row customHeight="1" ht="11.25">
      <c r="A327" s="1866" t="s">
        <v>2394</v>
      </c>
      <c r="B327" s="1866" t="s">
        <v>16</v>
      </c>
      <c r="C327" s="1866" t="s">
        <v>2865</v>
      </c>
      <c r="D327" s="1866" t="s">
        <v>2866</v>
      </c>
      <c r="E327" s="1866" t="s">
        <v>2867</v>
      </c>
      <c r="F327" s="1866" t="s">
        <v>2540</v>
      </c>
      <c r="G327" s="1866" t="s">
        <v>28</v>
      </c>
      <c r="H327" s="1866" t="s">
        <v>2868</v>
      </c>
      <c r="I327" s="1866" t="s">
        <v>1059</v>
      </c>
    </row>
    <row customHeight="1" ht="11.25">
      <c r="A328" s="1866" t="s">
        <v>2394</v>
      </c>
      <c r="B328" s="1866" t="s">
        <v>16</v>
      </c>
      <c r="C328" s="1866" t="s">
        <v>2872</v>
      </c>
      <c r="D328" s="1866" t="s">
        <v>2873</v>
      </c>
      <c r="E328" s="1866" t="s">
        <v>2874</v>
      </c>
      <c r="F328" s="1866" t="s">
        <v>728</v>
      </c>
      <c r="G328" s="1866" t="s">
        <v>28</v>
      </c>
      <c r="H328" s="1866" t="s">
        <v>28</v>
      </c>
      <c r="I328" s="1866" t="s">
        <v>1059</v>
      </c>
    </row>
    <row customHeight="1" ht="11.25">
      <c r="A329" s="1866" t="s">
        <v>2394</v>
      </c>
      <c r="B329" s="1866" t="s">
        <v>16</v>
      </c>
      <c r="C329" s="1866" t="s">
        <v>2878</v>
      </c>
      <c r="D329" s="1866" t="s">
        <v>49</v>
      </c>
      <c r="E329" s="1866" t="s">
        <v>52</v>
      </c>
      <c r="F329" s="1866" t="s">
        <v>2879</v>
      </c>
      <c r="G329" s="1866" t="s">
        <v>28</v>
      </c>
      <c r="H329" s="1866" t="s">
        <v>28</v>
      </c>
      <c r="I329" s="1866" t="s">
        <v>1059</v>
      </c>
    </row>
    <row customHeight="1" ht="11.25">
      <c r="A330" s="1866" t="s">
        <v>2394</v>
      </c>
      <c r="B330" s="1866" t="s">
        <v>16</v>
      </c>
      <c r="C330" s="1866" t="s">
        <v>2827</v>
      </c>
      <c r="D330" s="1866" t="s">
        <v>49</v>
      </c>
      <c r="E330" s="1866" t="s">
        <v>52</v>
      </c>
      <c r="F330" s="1866" t="s">
        <v>2828</v>
      </c>
      <c r="G330" s="1866" t="s">
        <v>28</v>
      </c>
      <c r="H330" s="1866" t="s">
        <v>28</v>
      </c>
      <c r="I330" s="1866" t="s">
        <v>1059</v>
      </c>
    </row>
    <row customHeight="1" ht="11.25">
      <c r="A331" s="1866" t="s">
        <v>2394</v>
      </c>
      <c r="B331" s="1866" t="s">
        <v>16</v>
      </c>
      <c r="C331" s="1866" t="s">
        <v>2829</v>
      </c>
      <c r="D331" s="1866" t="s">
        <v>49</v>
      </c>
      <c r="E331" s="1866" t="s">
        <v>52</v>
      </c>
      <c r="F331" s="1866" t="s">
        <v>2830</v>
      </c>
      <c r="G331" s="1866" t="s">
        <v>28</v>
      </c>
      <c r="H331" s="1866" t="s">
        <v>28</v>
      </c>
      <c r="I331" s="1866" t="s">
        <v>1059</v>
      </c>
    </row>
    <row customHeight="1" ht="11.25">
      <c r="A332" s="1866" t="s">
        <v>2394</v>
      </c>
      <c r="B332" s="1866" t="s">
        <v>16</v>
      </c>
      <c r="C332" s="1866" t="s">
        <v>2831</v>
      </c>
      <c r="D332" s="1866" t="s">
        <v>49</v>
      </c>
      <c r="E332" s="1866" t="s">
        <v>52</v>
      </c>
      <c r="F332" s="1866" t="s">
        <v>2832</v>
      </c>
      <c r="G332" s="1866" t="s">
        <v>28</v>
      </c>
      <c r="H332" s="1866" t="s">
        <v>28</v>
      </c>
      <c r="I332" s="1866" t="s">
        <v>1059</v>
      </c>
    </row>
    <row customHeight="1" ht="11.25">
      <c r="A333" s="1866" t="s">
        <v>2394</v>
      </c>
      <c r="B333" s="1866" t="s">
        <v>16</v>
      </c>
      <c r="C333" s="1866" t="s">
        <v>2880</v>
      </c>
      <c r="D333" s="1866" t="s">
        <v>49</v>
      </c>
      <c r="E333" s="1866" t="s">
        <v>52</v>
      </c>
      <c r="F333" s="1866" t="s">
        <v>2881</v>
      </c>
      <c r="G333" s="1866" t="s">
        <v>28</v>
      </c>
      <c r="H333" s="1866" t="s">
        <v>28</v>
      </c>
      <c r="I333" s="1866" t="s">
        <v>1059</v>
      </c>
    </row>
    <row customHeight="1" ht="11.25">
      <c r="A334" s="1866" t="s">
        <v>2394</v>
      </c>
      <c r="B334" s="1866" t="s">
        <v>16</v>
      </c>
      <c r="C334" s="1866" t="s">
        <v>2833</v>
      </c>
      <c r="D334" s="1866" t="s">
        <v>49</v>
      </c>
      <c r="E334" s="1866" t="s">
        <v>52</v>
      </c>
      <c r="F334" s="1866" t="s">
        <v>2834</v>
      </c>
      <c r="G334" s="1866" t="s">
        <v>28</v>
      </c>
      <c r="H334" s="1866" t="s">
        <v>28</v>
      </c>
      <c r="I334" s="1866" t="s">
        <v>1059</v>
      </c>
    </row>
    <row customHeight="1" ht="11.25">
      <c r="A335" s="1866" t="s">
        <v>2394</v>
      </c>
      <c r="B335" s="1866" t="s">
        <v>16</v>
      </c>
      <c r="C335" s="1866" t="s">
        <v>2835</v>
      </c>
      <c r="D335" s="1866" t="s">
        <v>49</v>
      </c>
      <c r="E335" s="1866" t="s">
        <v>52</v>
      </c>
      <c r="F335" s="1866" t="s">
        <v>2836</v>
      </c>
      <c r="G335" s="1866" t="s">
        <v>28</v>
      </c>
      <c r="H335" s="1866" t="s">
        <v>28</v>
      </c>
      <c r="I335" s="1866" t="s">
        <v>1059</v>
      </c>
    </row>
    <row customHeight="1" ht="11.25">
      <c r="A336" s="1866" t="s">
        <v>2394</v>
      </c>
      <c r="B336" s="1866" t="s">
        <v>16</v>
      </c>
      <c r="C336" s="1866" t="s">
        <v>2837</v>
      </c>
      <c r="D336" s="1866" t="s">
        <v>49</v>
      </c>
      <c r="E336" s="1866" t="s">
        <v>52</v>
      </c>
      <c r="F336" s="1866" t="s">
        <v>2838</v>
      </c>
      <c r="G336" s="1866" t="s">
        <v>28</v>
      </c>
      <c r="H336" s="1866" t="s">
        <v>28</v>
      </c>
      <c r="I336" s="1866" t="s">
        <v>1059</v>
      </c>
    </row>
    <row customHeight="1" ht="11.25">
      <c r="A337" s="1866" t="s">
        <v>2394</v>
      </c>
      <c r="B337" s="1866" t="s">
        <v>16</v>
      </c>
      <c r="C337" s="1866" t="s">
        <v>2839</v>
      </c>
      <c r="D337" s="1866" t="s">
        <v>49</v>
      </c>
      <c r="E337" s="1866" t="s">
        <v>52</v>
      </c>
      <c r="F337" s="1866" t="s">
        <v>2840</v>
      </c>
      <c r="G337" s="1866" t="s">
        <v>28</v>
      </c>
      <c r="H337" s="1866" t="s">
        <v>28</v>
      </c>
      <c r="I337" s="1866" t="s">
        <v>1059</v>
      </c>
    </row>
    <row customHeight="1" ht="11.25">
      <c r="A338" s="1866" t="s">
        <v>2394</v>
      </c>
      <c r="B338" s="1866" t="s">
        <v>16</v>
      </c>
      <c r="C338" s="1866" t="s">
        <v>2841</v>
      </c>
      <c r="D338" s="1866" t="s">
        <v>49</v>
      </c>
      <c r="E338" s="1866" t="s">
        <v>52</v>
      </c>
      <c r="F338" s="1866" t="s">
        <v>2842</v>
      </c>
      <c r="G338" s="1866" t="s">
        <v>28</v>
      </c>
      <c r="H338" s="1866" t="s">
        <v>28</v>
      </c>
      <c r="I338" s="1866" t="s">
        <v>1059</v>
      </c>
    </row>
    <row customHeight="1" ht="11.25">
      <c r="A339" s="1866" t="s">
        <v>2394</v>
      </c>
      <c r="B339" s="1866" t="s">
        <v>16</v>
      </c>
      <c r="C339" s="1866" t="s">
        <v>13</v>
      </c>
      <c r="D339" s="1866" t="s">
        <v>49</v>
      </c>
      <c r="E339" s="1866" t="s">
        <v>52</v>
      </c>
      <c r="F339" s="1866" t="s">
        <v>54</v>
      </c>
      <c r="G339" s="1866" t="s">
        <v>28</v>
      </c>
      <c r="H339" s="1866" t="s">
        <v>28</v>
      </c>
      <c r="I339" s="1866" t="s">
        <v>1059</v>
      </c>
    </row>
    <row customHeight="1" ht="11.25">
      <c r="A340" s="1866" t="s">
        <v>2394</v>
      </c>
      <c r="B340" s="1866" t="s">
        <v>16</v>
      </c>
      <c r="C340" s="1866" t="s">
        <v>2882</v>
      </c>
      <c r="D340" s="1866" t="s">
        <v>2883</v>
      </c>
      <c r="E340" s="1866" t="s">
        <v>2884</v>
      </c>
      <c r="F340" s="1866" t="s">
        <v>2431</v>
      </c>
      <c r="G340" s="1866" t="s">
        <v>28</v>
      </c>
      <c r="H340" s="1866" t="s">
        <v>28</v>
      </c>
      <c r="I340" s="1866" t="s">
        <v>1059</v>
      </c>
    </row>
    <row customHeight="1" ht="11.25">
      <c r="A341" s="1866" t="s">
        <v>2394</v>
      </c>
      <c r="B341" s="1866" t="s">
        <v>16</v>
      </c>
      <c r="C341" s="1866" t="s">
        <v>2885</v>
      </c>
      <c r="D341" s="1866" t="s">
        <v>2883</v>
      </c>
      <c r="E341" s="1866" t="s">
        <v>2884</v>
      </c>
      <c r="F341" s="1866" t="s">
        <v>2886</v>
      </c>
      <c r="G341" s="1866" t="s">
        <v>28</v>
      </c>
      <c r="H341" s="1866" t="s">
        <v>28</v>
      </c>
      <c r="I341" s="1866" t="s">
        <v>1059</v>
      </c>
    </row>
    <row customHeight="1" ht="11.25">
      <c r="A342" s="1866" t="s">
        <v>2394</v>
      </c>
      <c r="B342" s="1866" t="s">
        <v>16</v>
      </c>
      <c r="C342" s="1866" t="s">
        <v>2887</v>
      </c>
      <c r="D342" s="1866" t="s">
        <v>2844</v>
      </c>
      <c r="E342" s="1866" t="s">
        <v>52</v>
      </c>
      <c r="F342" s="1866" t="s">
        <v>2888</v>
      </c>
      <c r="G342" s="1866" t="s">
        <v>28</v>
      </c>
      <c r="H342" s="1866" t="s">
        <v>28</v>
      </c>
      <c r="I342" s="1866" t="s">
        <v>1059</v>
      </c>
    </row>
    <row customHeight="1" ht="11.25">
      <c r="A343" s="1866" t="s">
        <v>2394</v>
      </c>
      <c r="B343" s="1866" t="s">
        <v>16</v>
      </c>
      <c r="C343" s="1866" t="s">
        <v>2843</v>
      </c>
      <c r="D343" s="1866" t="s">
        <v>2844</v>
      </c>
      <c r="E343" s="1866" t="s">
        <v>52</v>
      </c>
      <c r="F343" s="1866" t="s">
        <v>2845</v>
      </c>
      <c r="G343" s="1866" t="s">
        <v>28</v>
      </c>
      <c r="H343" s="1866" t="s">
        <v>28</v>
      </c>
      <c r="I343" s="1866" t="s">
        <v>1059</v>
      </c>
    </row>
    <row customHeight="1" ht="11.25">
      <c r="A344" s="1866" t="s">
        <v>2394</v>
      </c>
      <c r="B344" s="1866" t="s">
        <v>16</v>
      </c>
      <c r="C344" s="1866" t="s">
        <v>3159</v>
      </c>
      <c r="D344" s="1866" t="s">
        <v>3160</v>
      </c>
      <c r="E344" s="1866" t="s">
        <v>3161</v>
      </c>
      <c r="F344" s="1866" t="s">
        <v>2660</v>
      </c>
      <c r="G344" s="1866" t="s">
        <v>3162</v>
      </c>
      <c r="H344" s="1866" t="s">
        <v>28</v>
      </c>
      <c r="I344" s="1866" t="s">
        <v>1059</v>
      </c>
    </row>
    <row customHeight="1" ht="11.25">
      <c r="A345" s="1866" t="s">
        <v>2394</v>
      </c>
      <c r="B345" s="1866" t="s">
        <v>16</v>
      </c>
      <c r="C345" s="1866" t="s">
        <v>2892</v>
      </c>
      <c r="D345" s="1866" t="s">
        <v>2893</v>
      </c>
      <c r="E345" s="1866" t="s">
        <v>2894</v>
      </c>
      <c r="F345" s="1866" t="s">
        <v>2443</v>
      </c>
      <c r="G345" s="1866" t="s">
        <v>2895</v>
      </c>
      <c r="H345" s="1866" t="s">
        <v>28</v>
      </c>
      <c r="I345" s="1866" t="s">
        <v>1059</v>
      </c>
    </row>
    <row customHeight="1" ht="11.25">
      <c r="A346" s="1866" t="s">
        <v>2394</v>
      </c>
      <c r="B346" s="1866" t="s">
        <v>16</v>
      </c>
      <c r="C346" s="1866" t="s">
        <v>2896</v>
      </c>
      <c r="D346" s="1866" t="s">
        <v>2897</v>
      </c>
      <c r="E346" s="1866" t="s">
        <v>2898</v>
      </c>
      <c r="F346" s="1866" t="s">
        <v>2630</v>
      </c>
      <c r="G346" s="1866" t="s">
        <v>28</v>
      </c>
      <c r="H346" s="1866" t="s">
        <v>28</v>
      </c>
      <c r="I346" s="1866" t="s">
        <v>1059</v>
      </c>
    </row>
    <row customHeight="1" ht="11.25">
      <c r="A347" s="1866" t="s">
        <v>2394</v>
      </c>
      <c r="B347" s="1866" t="s">
        <v>16</v>
      </c>
      <c r="C347" s="1866" t="s">
        <v>2899</v>
      </c>
      <c r="D347" s="1866" t="s">
        <v>2900</v>
      </c>
      <c r="E347" s="1866" t="s">
        <v>2901</v>
      </c>
      <c r="F347" s="1866" t="s">
        <v>2738</v>
      </c>
      <c r="G347" s="1866" t="s">
        <v>28</v>
      </c>
      <c r="H347" s="1866" t="s">
        <v>28</v>
      </c>
      <c r="I347" s="1866" t="s">
        <v>1059</v>
      </c>
    </row>
    <row customHeight="1" ht="11.25">
      <c r="A348" s="1866" t="s">
        <v>2394</v>
      </c>
      <c r="B348" s="1866" t="s">
        <v>16</v>
      </c>
      <c r="C348" s="1866" t="s">
        <v>2902</v>
      </c>
      <c r="D348" s="1866" t="s">
        <v>2903</v>
      </c>
      <c r="E348" s="1866" t="s">
        <v>2904</v>
      </c>
      <c r="F348" s="1866" t="s">
        <v>2464</v>
      </c>
      <c r="G348" s="1866" t="s">
        <v>28</v>
      </c>
      <c r="H348" s="1866" t="s">
        <v>28</v>
      </c>
      <c r="I348" s="1866" t="s">
        <v>1059</v>
      </c>
    </row>
    <row customHeight="1" ht="11.25">
      <c r="A349" s="1866" t="s">
        <v>2394</v>
      </c>
      <c r="B349" s="1866" t="s">
        <v>16</v>
      </c>
      <c r="C349" s="1866" t="s">
        <v>2905</v>
      </c>
      <c r="D349" s="1866" t="s">
        <v>2906</v>
      </c>
      <c r="E349" s="1866" t="s">
        <v>2907</v>
      </c>
      <c r="F349" s="1866" t="s">
        <v>2557</v>
      </c>
      <c r="G349" s="1866" t="s">
        <v>28</v>
      </c>
      <c r="H349" s="1866" t="s">
        <v>28</v>
      </c>
      <c r="I349" s="1866" t="s">
        <v>1059</v>
      </c>
    </row>
    <row customHeight="1" ht="11.25">
      <c r="A350" s="1866" t="s">
        <v>2394</v>
      </c>
      <c r="B350" s="1866" t="s">
        <v>16</v>
      </c>
      <c r="C350" s="1866" t="s">
        <v>2912</v>
      </c>
      <c r="D350" s="1866" t="s">
        <v>2913</v>
      </c>
      <c r="E350" s="1866" t="s">
        <v>2914</v>
      </c>
      <c r="F350" s="1866" t="s">
        <v>2464</v>
      </c>
      <c r="G350" s="1866" t="s">
        <v>28</v>
      </c>
      <c r="H350" s="1866" t="s">
        <v>28</v>
      </c>
      <c r="I350" s="1866" t="s">
        <v>1059</v>
      </c>
    </row>
    <row customHeight="1" ht="11.25">
      <c r="A351" s="1866" t="s">
        <v>2394</v>
      </c>
      <c r="B351" s="1866" t="s">
        <v>16</v>
      </c>
      <c r="C351" s="1866" t="s">
        <v>2554</v>
      </c>
      <c r="D351" s="1866" t="s">
        <v>2555</v>
      </c>
      <c r="E351" s="1866" t="s">
        <v>2556</v>
      </c>
      <c r="F351" s="1866" t="s">
        <v>2557</v>
      </c>
      <c r="G351" s="1866" t="s">
        <v>28</v>
      </c>
      <c r="H351" s="1866" t="s">
        <v>28</v>
      </c>
      <c r="I351" s="1866" t="s">
        <v>1059</v>
      </c>
    </row>
    <row customHeight="1" ht="11.25">
      <c r="A352" s="1866" t="s">
        <v>2394</v>
      </c>
      <c r="B352" s="1866" t="s">
        <v>16</v>
      </c>
      <c r="C352" s="1866" t="s">
        <v>2915</v>
      </c>
      <c r="D352" s="1866" t="s">
        <v>2916</v>
      </c>
      <c r="E352" s="1866" t="s">
        <v>2917</v>
      </c>
      <c r="F352" s="1866" t="s">
        <v>2574</v>
      </c>
      <c r="G352" s="1866" t="s">
        <v>2918</v>
      </c>
      <c r="H352" s="1866" t="s">
        <v>28</v>
      </c>
      <c r="I352" s="1866" t="s">
        <v>1059</v>
      </c>
    </row>
    <row customHeight="1" ht="11.25">
      <c r="A353" s="1866" t="s">
        <v>2394</v>
      </c>
      <c r="B353" s="1866" t="s">
        <v>16</v>
      </c>
      <c r="C353" s="1866" t="s">
        <v>2919</v>
      </c>
      <c r="D353" s="1866" t="s">
        <v>2920</v>
      </c>
      <c r="E353" s="1866" t="s">
        <v>2921</v>
      </c>
      <c r="F353" s="1866" t="s">
        <v>2922</v>
      </c>
      <c r="G353" s="1866" t="s">
        <v>28</v>
      </c>
      <c r="H353" s="1866" t="s">
        <v>28</v>
      </c>
      <c r="I353" s="1866" t="s">
        <v>1059</v>
      </c>
    </row>
    <row customHeight="1" ht="11.25">
      <c r="A354" s="1866" t="s">
        <v>2394</v>
      </c>
      <c r="B354" s="1866" t="s">
        <v>16</v>
      </c>
      <c r="C354" s="1866" t="s">
        <v>2923</v>
      </c>
      <c r="D354" s="1866" t="s">
        <v>2924</v>
      </c>
      <c r="E354" s="1866" t="s">
        <v>2925</v>
      </c>
      <c r="F354" s="1866" t="s">
        <v>2443</v>
      </c>
      <c r="G354" s="1866" t="s">
        <v>2926</v>
      </c>
      <c r="H354" s="1866" t="s">
        <v>28</v>
      </c>
      <c r="I354" s="1866" t="s">
        <v>1059</v>
      </c>
    </row>
    <row customHeight="1" ht="11.25">
      <c r="A355" s="1866" t="s">
        <v>2394</v>
      </c>
      <c r="B355" s="1866" t="s">
        <v>16</v>
      </c>
      <c r="C355" s="1866" t="s">
        <v>2927</v>
      </c>
      <c r="D355" s="1866" t="s">
        <v>2928</v>
      </c>
      <c r="E355" s="1866" t="s">
        <v>2929</v>
      </c>
      <c r="F355" s="1866" t="s">
        <v>2443</v>
      </c>
      <c r="G355" s="1866" t="s">
        <v>2930</v>
      </c>
      <c r="H355" s="1866" t="s">
        <v>28</v>
      </c>
      <c r="I355" s="1866" t="s">
        <v>1059</v>
      </c>
    </row>
    <row customHeight="1" ht="11.25">
      <c r="A356" s="1866" t="s">
        <v>2394</v>
      </c>
      <c r="B356" s="1866" t="s">
        <v>16</v>
      </c>
      <c r="C356" s="1866" t="s">
        <v>2561</v>
      </c>
      <c r="D356" s="1866" t="s">
        <v>2562</v>
      </c>
      <c r="E356" s="1866" t="s">
        <v>2563</v>
      </c>
      <c r="F356" s="1866" t="s">
        <v>2564</v>
      </c>
      <c r="G356" s="1866" t="s">
        <v>28</v>
      </c>
      <c r="H356" s="1866" t="s">
        <v>28</v>
      </c>
      <c r="I356" s="1866" t="s">
        <v>1059</v>
      </c>
    </row>
    <row customHeight="1" ht="11.25">
      <c r="A357" s="1866" t="s">
        <v>2394</v>
      </c>
      <c r="B357" s="1866" t="s">
        <v>16</v>
      </c>
      <c r="C357" s="1866" t="s">
        <v>3163</v>
      </c>
      <c r="D357" s="1866" t="s">
        <v>3164</v>
      </c>
      <c r="E357" s="1866" t="s">
        <v>3165</v>
      </c>
      <c r="F357" s="1866" t="s">
        <v>2574</v>
      </c>
      <c r="G357" s="1866" t="s">
        <v>28</v>
      </c>
      <c r="H357" s="1866" t="s">
        <v>28</v>
      </c>
      <c r="I357" s="1866" t="s">
        <v>1059</v>
      </c>
    </row>
    <row customHeight="1" ht="11.25">
      <c r="A358" s="1866" t="s">
        <v>2394</v>
      </c>
      <c r="B358" s="1866" t="s">
        <v>16</v>
      </c>
      <c r="C358" s="1866" t="s">
        <v>2565</v>
      </c>
      <c r="D358" s="1866" t="s">
        <v>2566</v>
      </c>
      <c r="E358" s="1866" t="s">
        <v>2567</v>
      </c>
      <c r="F358" s="1866" t="s">
        <v>2439</v>
      </c>
      <c r="G358" s="1866" t="s">
        <v>28</v>
      </c>
      <c r="H358" s="1866" t="s">
        <v>28</v>
      </c>
      <c r="I358" s="1866" t="s">
        <v>1059</v>
      </c>
    </row>
    <row customHeight="1" ht="11.25">
      <c r="A359" s="1866" t="s">
        <v>2394</v>
      </c>
      <c r="B359" s="1866" t="s">
        <v>16</v>
      </c>
      <c r="C359" s="1866" t="s">
        <v>2568</v>
      </c>
      <c r="D359" s="1866" t="s">
        <v>2569</v>
      </c>
      <c r="E359" s="1866" t="s">
        <v>2570</v>
      </c>
      <c r="F359" s="1866" t="s">
        <v>2439</v>
      </c>
      <c r="G359" s="1866" t="s">
        <v>28</v>
      </c>
      <c r="H359" s="1866" t="s">
        <v>28</v>
      </c>
      <c r="I359" s="1866" t="s">
        <v>1059</v>
      </c>
    </row>
    <row customHeight="1" ht="11.25">
      <c r="A360" s="1866" t="s">
        <v>2394</v>
      </c>
      <c r="B360" s="1866" t="s">
        <v>16</v>
      </c>
      <c r="C360" s="1866" t="s">
        <v>2571</v>
      </c>
      <c r="D360" s="1866" t="s">
        <v>2572</v>
      </c>
      <c r="E360" s="1866" t="s">
        <v>2573</v>
      </c>
      <c r="F360" s="1866" t="s">
        <v>2574</v>
      </c>
      <c r="G360" s="1866" t="s">
        <v>28</v>
      </c>
      <c r="H360" s="1866" t="s">
        <v>28</v>
      </c>
      <c r="I360" s="1866" t="s">
        <v>1059</v>
      </c>
    </row>
    <row customHeight="1" ht="11.25">
      <c r="A361" s="1866" t="s">
        <v>2394</v>
      </c>
      <c r="B361" s="1866" t="s">
        <v>16</v>
      </c>
      <c r="C361" s="1866" t="s">
        <v>2931</v>
      </c>
      <c r="D361" s="1866" t="s">
        <v>2932</v>
      </c>
      <c r="E361" s="1866" t="s">
        <v>2933</v>
      </c>
      <c r="F361" s="1866" t="s">
        <v>2509</v>
      </c>
      <c r="G361" s="1866" t="s">
        <v>28</v>
      </c>
      <c r="H361" s="1866" t="s">
        <v>28</v>
      </c>
      <c r="I361" s="1866" t="s">
        <v>1059</v>
      </c>
    </row>
    <row customHeight="1" ht="11.25">
      <c r="A362" s="1866" t="s">
        <v>2394</v>
      </c>
      <c r="B362" s="1866" t="s">
        <v>16</v>
      </c>
      <c r="C362" s="1866" t="s">
        <v>2934</v>
      </c>
      <c r="D362" s="1866" t="s">
        <v>2935</v>
      </c>
      <c r="E362" s="1866" t="s">
        <v>2936</v>
      </c>
      <c r="F362" s="1866" t="s">
        <v>2472</v>
      </c>
      <c r="G362" s="1866" t="s">
        <v>2937</v>
      </c>
      <c r="H362" s="1866" t="s">
        <v>28</v>
      </c>
      <c r="I362" s="1866" t="s">
        <v>1059</v>
      </c>
    </row>
    <row customHeight="1" ht="11.25">
      <c r="A363" s="1866" t="s">
        <v>2394</v>
      </c>
      <c r="B363" s="1866" t="s">
        <v>16</v>
      </c>
      <c r="C363" s="1866" t="s">
        <v>2938</v>
      </c>
      <c r="D363" s="1866" t="s">
        <v>2939</v>
      </c>
      <c r="E363" s="1866" t="s">
        <v>2940</v>
      </c>
      <c r="F363" s="1866" t="s">
        <v>2532</v>
      </c>
      <c r="G363" s="1866" t="s">
        <v>2941</v>
      </c>
      <c r="H363" s="1866" t="s">
        <v>28</v>
      </c>
      <c r="I363" s="1866" t="s">
        <v>1059</v>
      </c>
    </row>
    <row customHeight="1" ht="11.25">
      <c r="A364" s="1866" t="s">
        <v>2394</v>
      </c>
      <c r="B364" s="1866" t="s">
        <v>16</v>
      </c>
      <c r="C364" s="1866" t="s">
        <v>2575</v>
      </c>
      <c r="D364" s="1866" t="s">
        <v>2576</v>
      </c>
      <c r="E364" s="1866" t="s">
        <v>2577</v>
      </c>
      <c r="F364" s="1866" t="s">
        <v>2443</v>
      </c>
      <c r="G364" s="1866" t="s">
        <v>28</v>
      </c>
      <c r="H364" s="1866" t="s">
        <v>28</v>
      </c>
      <c r="I364" s="1866" t="s">
        <v>1059</v>
      </c>
    </row>
    <row customHeight="1" ht="11.25">
      <c r="A365" s="1866" t="s">
        <v>2394</v>
      </c>
      <c r="B365" s="1866" t="s">
        <v>16</v>
      </c>
      <c r="C365" s="1866" t="s">
        <v>2942</v>
      </c>
      <c r="D365" s="1866" t="s">
        <v>2943</v>
      </c>
      <c r="E365" s="1866" t="s">
        <v>2944</v>
      </c>
      <c r="F365" s="1866" t="s">
        <v>2911</v>
      </c>
      <c r="G365" s="1866" t="s">
        <v>28</v>
      </c>
      <c r="H365" s="1866" t="s">
        <v>28</v>
      </c>
      <c r="I365" s="1866" t="s">
        <v>1059</v>
      </c>
    </row>
    <row customHeight="1" ht="11.25">
      <c r="A366" s="1866" t="s">
        <v>2394</v>
      </c>
      <c r="B366" s="1866" t="s">
        <v>16</v>
      </c>
      <c r="C366" s="1866" t="s">
        <v>2578</v>
      </c>
      <c r="D366" s="1866" t="s">
        <v>2579</v>
      </c>
      <c r="E366" s="1866" t="s">
        <v>2580</v>
      </c>
      <c r="F366" s="1866" t="s">
        <v>2564</v>
      </c>
      <c r="G366" s="1866" t="s">
        <v>28</v>
      </c>
      <c r="H366" s="1866" t="s">
        <v>28</v>
      </c>
      <c r="I366" s="1866" t="s">
        <v>1059</v>
      </c>
    </row>
    <row customHeight="1" ht="11.25">
      <c r="A367" s="1866" t="s">
        <v>2394</v>
      </c>
      <c r="B367" s="1866" t="s">
        <v>16</v>
      </c>
      <c r="C367" s="1866" t="s">
        <v>2945</v>
      </c>
      <c r="D367" s="1866" t="s">
        <v>2946</v>
      </c>
      <c r="E367" s="1866" t="s">
        <v>2947</v>
      </c>
      <c r="F367" s="1866" t="s">
        <v>2472</v>
      </c>
      <c r="G367" s="1866" t="s">
        <v>28</v>
      </c>
      <c r="H367" s="1866" t="s">
        <v>28</v>
      </c>
      <c r="I367" s="1866" t="s">
        <v>1059</v>
      </c>
    </row>
    <row customHeight="1" ht="11.25">
      <c r="A368" s="1866" t="s">
        <v>2394</v>
      </c>
      <c r="B368" s="1866" t="s">
        <v>16</v>
      </c>
      <c r="C368" s="1866" t="s">
        <v>2948</v>
      </c>
      <c r="D368" s="1866" t="s">
        <v>2949</v>
      </c>
      <c r="E368" s="1866" t="s">
        <v>2950</v>
      </c>
      <c r="F368" s="1866" t="s">
        <v>2820</v>
      </c>
      <c r="G368" s="1866" t="s">
        <v>28</v>
      </c>
      <c r="H368" s="1866" t="s">
        <v>28</v>
      </c>
      <c r="I368" s="1866" t="s">
        <v>1059</v>
      </c>
    </row>
    <row customHeight="1" ht="11.25">
      <c r="A369" s="1866" t="s">
        <v>2394</v>
      </c>
      <c r="B369" s="1866" t="s">
        <v>16</v>
      </c>
      <c r="C369" s="1866" t="s">
        <v>2951</v>
      </c>
      <c r="D369" s="1866" t="s">
        <v>2952</v>
      </c>
      <c r="E369" s="1866" t="s">
        <v>2953</v>
      </c>
      <c r="F369" s="1866" t="s">
        <v>2401</v>
      </c>
      <c r="G369" s="1866" t="s">
        <v>28</v>
      </c>
      <c r="H369" s="1866" t="s">
        <v>28</v>
      </c>
      <c r="I369" s="1866" t="s">
        <v>1059</v>
      </c>
    </row>
    <row customHeight="1" ht="11.25">
      <c r="A370" s="1866" t="s">
        <v>2394</v>
      </c>
      <c r="B370" s="1866" t="s">
        <v>16</v>
      </c>
      <c r="C370" s="1866" t="s">
        <v>2581</v>
      </c>
      <c r="D370" s="1866" t="s">
        <v>2582</v>
      </c>
      <c r="E370" s="1866" t="s">
        <v>2583</v>
      </c>
      <c r="F370" s="1866" t="s">
        <v>2584</v>
      </c>
      <c r="G370" s="1866" t="s">
        <v>28</v>
      </c>
      <c r="H370" s="1866" t="s">
        <v>28</v>
      </c>
      <c r="I370" s="1866" t="s">
        <v>1059</v>
      </c>
    </row>
    <row customHeight="1" ht="11.25">
      <c r="A371" s="1866" t="s">
        <v>2394</v>
      </c>
      <c r="B371" s="1866" t="s">
        <v>16</v>
      </c>
      <c r="C371" s="1866" t="s">
        <v>2954</v>
      </c>
      <c r="D371" s="1866" t="s">
        <v>2955</v>
      </c>
      <c r="E371" s="1866" t="s">
        <v>2956</v>
      </c>
      <c r="F371" s="1866" t="s">
        <v>2820</v>
      </c>
      <c r="G371" s="1866" t="s">
        <v>28</v>
      </c>
      <c r="H371" s="1866" t="s">
        <v>28</v>
      </c>
      <c r="I371" s="1866" t="s">
        <v>1059</v>
      </c>
    </row>
    <row customHeight="1" ht="11.25">
      <c r="A372" s="1866" t="s">
        <v>2394</v>
      </c>
      <c r="B372" s="1866" t="s">
        <v>16</v>
      </c>
      <c r="C372" s="1866" t="s">
        <v>2585</v>
      </c>
      <c r="D372" s="1866" t="s">
        <v>2586</v>
      </c>
      <c r="E372" s="1866" t="s">
        <v>2587</v>
      </c>
      <c r="F372" s="1866" t="s">
        <v>54</v>
      </c>
      <c r="G372" s="1866" t="s">
        <v>28</v>
      </c>
      <c r="H372" s="1866" t="s">
        <v>28</v>
      </c>
      <c r="I372" s="1866" t="s">
        <v>1059</v>
      </c>
    </row>
    <row customHeight="1" ht="11.25">
      <c r="A373" s="1866" t="s">
        <v>2394</v>
      </c>
      <c r="B373" s="1866" t="s">
        <v>16</v>
      </c>
      <c r="C373" s="1866" t="s">
        <v>2595</v>
      </c>
      <c r="D373" s="1866" t="s">
        <v>2596</v>
      </c>
      <c r="E373" s="1866" t="s">
        <v>2597</v>
      </c>
      <c r="F373" s="1866" t="s">
        <v>2598</v>
      </c>
      <c r="G373" s="1866" t="s">
        <v>28</v>
      </c>
      <c r="H373" s="1866" t="s">
        <v>28</v>
      </c>
      <c r="I373" s="1866" t="s">
        <v>1059</v>
      </c>
    </row>
    <row customHeight="1" ht="11.25">
      <c r="A374" s="1866" t="s">
        <v>2394</v>
      </c>
      <c r="B374" s="1866" t="s">
        <v>16</v>
      </c>
      <c r="C374" s="1866" t="s">
        <v>3166</v>
      </c>
      <c r="D374" s="1866" t="s">
        <v>3167</v>
      </c>
      <c r="E374" s="1866" t="s">
        <v>3168</v>
      </c>
      <c r="F374" s="1866" t="s">
        <v>2464</v>
      </c>
      <c r="G374" s="1866" t="s">
        <v>28</v>
      </c>
      <c r="H374" s="1866" t="s">
        <v>28</v>
      </c>
      <c r="I374" s="1866" t="s">
        <v>1059</v>
      </c>
    </row>
    <row customHeight="1" ht="11.25">
      <c r="A375" s="1866" t="s">
        <v>2394</v>
      </c>
      <c r="B375" s="1866" t="s">
        <v>16</v>
      </c>
      <c r="C375" s="1866" t="s">
        <v>2612</v>
      </c>
      <c r="D375" s="1866" t="s">
        <v>2613</v>
      </c>
      <c r="E375" s="1866" t="s">
        <v>2614</v>
      </c>
      <c r="F375" s="1866" t="s">
        <v>2439</v>
      </c>
      <c r="G375" s="1866" t="s">
        <v>28</v>
      </c>
      <c r="H375" s="1866" t="s">
        <v>28</v>
      </c>
      <c r="I375" s="1866" t="s">
        <v>1059</v>
      </c>
    </row>
    <row customHeight="1" ht="11.25">
      <c r="A376" s="1866" t="s">
        <v>2394</v>
      </c>
      <c r="B376" s="1866" t="s">
        <v>16</v>
      </c>
      <c r="C376" s="1866" t="s">
        <v>2963</v>
      </c>
      <c r="D376" s="1866" t="s">
        <v>2964</v>
      </c>
      <c r="E376" s="1866" t="s">
        <v>2965</v>
      </c>
      <c r="F376" s="1866" t="s">
        <v>2443</v>
      </c>
      <c r="G376" s="1866" t="s">
        <v>2966</v>
      </c>
      <c r="H376" s="1866" t="s">
        <v>28</v>
      </c>
      <c r="I376" s="1866" t="s">
        <v>1059</v>
      </c>
    </row>
    <row customHeight="1" ht="11.25">
      <c r="A377" s="1866" t="s">
        <v>2394</v>
      </c>
      <c r="B377" s="1866" t="s">
        <v>16</v>
      </c>
      <c r="C377" s="1866" t="s">
        <v>2967</v>
      </c>
      <c r="D377" s="1866" t="s">
        <v>2968</v>
      </c>
      <c r="E377" s="1866" t="s">
        <v>2969</v>
      </c>
      <c r="F377" s="1866" t="s">
        <v>2455</v>
      </c>
      <c r="G377" s="1866" t="s">
        <v>2970</v>
      </c>
      <c r="H377" s="1866" t="s">
        <v>28</v>
      </c>
      <c r="I377" s="1866" t="s">
        <v>1059</v>
      </c>
    </row>
    <row customHeight="1" ht="11.25">
      <c r="A378" s="1866" t="s">
        <v>2394</v>
      </c>
      <c r="B378" s="1866" t="s">
        <v>16</v>
      </c>
      <c r="C378" s="1866" t="s">
        <v>2971</v>
      </c>
      <c r="D378" s="1866" t="s">
        <v>2972</v>
      </c>
      <c r="E378" s="1866" t="s">
        <v>2973</v>
      </c>
      <c r="F378" s="1866" t="s">
        <v>2409</v>
      </c>
      <c r="G378" s="1866" t="s">
        <v>2974</v>
      </c>
      <c r="H378" s="1866" t="s">
        <v>28</v>
      </c>
      <c r="I378" s="1866" t="s">
        <v>1059</v>
      </c>
    </row>
    <row customHeight="1" ht="11.25">
      <c r="A379" s="1866" t="s">
        <v>2394</v>
      </c>
      <c r="B379" s="1866" t="s">
        <v>16</v>
      </c>
      <c r="C379" s="1866" t="s">
        <v>2975</v>
      </c>
      <c r="D379" s="1866" t="s">
        <v>2976</v>
      </c>
      <c r="E379" s="1866" t="s">
        <v>2977</v>
      </c>
      <c r="F379" s="1866" t="s">
        <v>2978</v>
      </c>
      <c r="G379" s="1866" t="s">
        <v>28</v>
      </c>
      <c r="H379" s="1866" t="s">
        <v>28</v>
      </c>
      <c r="I379" s="1866" t="s">
        <v>1059</v>
      </c>
    </row>
    <row customHeight="1" ht="11.25">
      <c r="A380" s="1866" t="s">
        <v>2394</v>
      </c>
      <c r="B380" s="1866" t="s">
        <v>16</v>
      </c>
      <c r="C380" s="1866" t="s">
        <v>2983</v>
      </c>
      <c r="D380" s="1866" t="s">
        <v>2984</v>
      </c>
      <c r="E380" s="1866" t="s">
        <v>2985</v>
      </c>
      <c r="F380" s="1866" t="s">
        <v>2431</v>
      </c>
      <c r="G380" s="1866" t="s">
        <v>28</v>
      </c>
      <c r="H380" s="1866" t="s">
        <v>28</v>
      </c>
      <c r="I380" s="1866" t="s">
        <v>1059</v>
      </c>
    </row>
    <row customHeight="1" ht="11.25">
      <c r="A381" s="1866" t="s">
        <v>2394</v>
      </c>
      <c r="B381" s="1866" t="s">
        <v>16</v>
      </c>
      <c r="C381" s="1866" t="s">
        <v>2986</v>
      </c>
      <c r="D381" s="1866" t="s">
        <v>2987</v>
      </c>
      <c r="E381" s="1866" t="s">
        <v>2988</v>
      </c>
      <c r="F381" s="1866" t="s">
        <v>2989</v>
      </c>
      <c r="G381" s="1866" t="s">
        <v>28</v>
      </c>
      <c r="H381" s="1866" t="s">
        <v>28</v>
      </c>
      <c r="I381" s="1866" t="s">
        <v>1059</v>
      </c>
    </row>
    <row customHeight="1" ht="11.25">
      <c r="A382" s="1866" t="s">
        <v>2394</v>
      </c>
      <c r="B382" s="1866" t="s">
        <v>16</v>
      </c>
      <c r="C382" s="1866" t="s">
        <v>2990</v>
      </c>
      <c r="D382" s="1866" t="s">
        <v>2991</v>
      </c>
      <c r="E382" s="1866" t="s">
        <v>2992</v>
      </c>
      <c r="F382" s="1866" t="s">
        <v>2794</v>
      </c>
      <c r="G382" s="1866" t="s">
        <v>28</v>
      </c>
      <c r="H382" s="1866" t="s">
        <v>28</v>
      </c>
      <c r="I382" s="1866" t="s">
        <v>1059</v>
      </c>
    </row>
    <row customHeight="1" ht="11.25">
      <c r="A383" s="1866" t="s">
        <v>2394</v>
      </c>
      <c r="B383" s="1866" t="s">
        <v>16</v>
      </c>
      <c r="C383" s="1866" t="s">
        <v>3169</v>
      </c>
      <c r="D383" s="1866" t="s">
        <v>3170</v>
      </c>
      <c r="E383" s="1866" t="s">
        <v>3171</v>
      </c>
      <c r="F383" s="1866" t="s">
        <v>2405</v>
      </c>
      <c r="G383" s="1866" t="s">
        <v>2982</v>
      </c>
      <c r="H383" s="1866" t="s">
        <v>28</v>
      </c>
      <c r="I383" s="1866" t="s">
        <v>1059</v>
      </c>
    </row>
    <row customHeight="1" ht="11.25">
      <c r="A384" s="1866" t="s">
        <v>2394</v>
      </c>
      <c r="B384" s="1866" t="s">
        <v>16</v>
      </c>
      <c r="C384" s="1866" t="s">
        <v>3172</v>
      </c>
      <c r="D384" s="1866" t="s">
        <v>3170</v>
      </c>
      <c r="E384" s="1866" t="s">
        <v>3173</v>
      </c>
      <c r="F384" s="1866" t="s">
        <v>2820</v>
      </c>
      <c r="G384" s="1866" t="s">
        <v>2996</v>
      </c>
      <c r="H384" s="1866" t="s">
        <v>28</v>
      </c>
      <c r="I384" s="1866" t="s">
        <v>1059</v>
      </c>
    </row>
    <row customHeight="1" ht="11.25">
      <c r="A385" s="1866" t="s">
        <v>2394</v>
      </c>
      <c r="B385" s="1866" t="s">
        <v>16</v>
      </c>
      <c r="C385" s="1866" t="s">
        <v>2627</v>
      </c>
      <c r="D385" s="1866" t="s">
        <v>2628</v>
      </c>
      <c r="E385" s="1866" t="s">
        <v>2629</v>
      </c>
      <c r="F385" s="1866" t="s">
        <v>2630</v>
      </c>
      <c r="G385" s="1866" t="s">
        <v>2631</v>
      </c>
      <c r="H385" s="1866" t="s">
        <v>28</v>
      </c>
      <c r="I385" s="1866" t="s">
        <v>1059</v>
      </c>
    </row>
    <row customHeight="1" ht="11.25">
      <c r="A386" s="1866" t="s">
        <v>2394</v>
      </c>
      <c r="B386" s="1866" t="s">
        <v>16</v>
      </c>
      <c r="C386" s="1866" t="s">
        <v>2997</v>
      </c>
      <c r="D386" s="1866" t="s">
        <v>2998</v>
      </c>
      <c r="E386" s="1866" t="s">
        <v>2999</v>
      </c>
      <c r="F386" s="1866" t="s">
        <v>2443</v>
      </c>
      <c r="G386" s="1866" t="s">
        <v>28</v>
      </c>
      <c r="H386" s="1866" t="s">
        <v>28</v>
      </c>
      <c r="I386" s="1866" t="s">
        <v>1059</v>
      </c>
    </row>
    <row customHeight="1" ht="11.25">
      <c r="A387" s="1866" t="s">
        <v>2394</v>
      </c>
      <c r="B387" s="1866" t="s">
        <v>16</v>
      </c>
      <c r="C387" s="1866" t="s">
        <v>3174</v>
      </c>
      <c r="D387" s="1866" t="s">
        <v>3175</v>
      </c>
      <c r="E387" s="1866" t="s">
        <v>3176</v>
      </c>
      <c r="F387" s="1866" t="s">
        <v>2401</v>
      </c>
      <c r="G387" s="1866" t="s">
        <v>28</v>
      </c>
      <c r="H387" s="1866" t="s">
        <v>28</v>
      </c>
      <c r="I387" s="1866" t="s">
        <v>1059</v>
      </c>
    </row>
    <row customHeight="1" ht="11.25">
      <c r="A388" s="1866" t="s">
        <v>2394</v>
      </c>
      <c r="B388" s="1866" t="s">
        <v>16</v>
      </c>
      <c r="C388" s="1866" t="s">
        <v>3003</v>
      </c>
      <c r="D388" s="1866" t="s">
        <v>3004</v>
      </c>
      <c r="E388" s="1866" t="s">
        <v>3005</v>
      </c>
      <c r="F388" s="1866" t="s">
        <v>2397</v>
      </c>
      <c r="G388" s="1866" t="s">
        <v>28</v>
      </c>
      <c r="H388" s="1866" t="s">
        <v>28</v>
      </c>
      <c r="I388" s="1866" t="s">
        <v>1059</v>
      </c>
    </row>
    <row customHeight="1" ht="11.25">
      <c r="A389" s="1866" t="s">
        <v>2394</v>
      </c>
      <c r="B389" s="1866" t="s">
        <v>16</v>
      </c>
      <c r="C389" s="1866" t="s">
        <v>3006</v>
      </c>
      <c r="D389" s="1866" t="s">
        <v>3007</v>
      </c>
      <c r="E389" s="1866" t="s">
        <v>3008</v>
      </c>
      <c r="F389" s="1866" t="s">
        <v>2401</v>
      </c>
      <c r="G389" s="1866" t="s">
        <v>28</v>
      </c>
      <c r="H389" s="1866" t="s">
        <v>28</v>
      </c>
      <c r="I389" s="1866" t="s">
        <v>1059</v>
      </c>
    </row>
    <row customHeight="1" ht="11.25">
      <c r="A390" s="1866" t="s">
        <v>2394</v>
      </c>
      <c r="B390" s="1866" t="s">
        <v>16</v>
      </c>
      <c r="C390" s="1866" t="s">
        <v>2644</v>
      </c>
      <c r="D390" s="1866" t="s">
        <v>2645</v>
      </c>
      <c r="E390" s="1866" t="s">
        <v>2646</v>
      </c>
      <c r="F390" s="1866" t="s">
        <v>2630</v>
      </c>
      <c r="G390" s="1866" t="s">
        <v>28</v>
      </c>
      <c r="H390" s="1866" t="s">
        <v>28</v>
      </c>
      <c r="I390" s="1866" t="s">
        <v>1059</v>
      </c>
    </row>
    <row customHeight="1" ht="11.25">
      <c r="A391" s="1866" t="s">
        <v>2394</v>
      </c>
      <c r="B391" s="1866" t="s">
        <v>16</v>
      </c>
      <c r="C391" s="1866" t="s">
        <v>2650</v>
      </c>
      <c r="D391" s="1866" t="s">
        <v>2651</v>
      </c>
      <c r="E391" s="1866" t="s">
        <v>2652</v>
      </c>
      <c r="F391" s="1866" t="s">
        <v>2630</v>
      </c>
      <c r="G391" s="1866" t="s">
        <v>28</v>
      </c>
      <c r="H391" s="1866" t="s">
        <v>28</v>
      </c>
      <c r="I391" s="1866" t="s">
        <v>1059</v>
      </c>
    </row>
    <row customHeight="1" ht="11.25">
      <c r="A392" s="1866" t="s">
        <v>2394</v>
      </c>
      <c r="B392" s="1866" t="s">
        <v>16</v>
      </c>
      <c r="C392" s="1866" t="s">
        <v>3009</v>
      </c>
      <c r="D392" s="1866" t="s">
        <v>3010</v>
      </c>
      <c r="E392" s="1866" t="s">
        <v>3011</v>
      </c>
      <c r="F392" s="1866" t="s">
        <v>2630</v>
      </c>
      <c r="G392" s="1866" t="s">
        <v>28</v>
      </c>
      <c r="H392" s="1866" t="s">
        <v>28</v>
      </c>
      <c r="I392" s="1866" t="s">
        <v>1059</v>
      </c>
    </row>
    <row customHeight="1" ht="11.25">
      <c r="A393" s="1866" t="s">
        <v>2394</v>
      </c>
      <c r="B393" s="1866" t="s">
        <v>16</v>
      </c>
      <c r="C393" s="1866" t="s">
        <v>3012</v>
      </c>
      <c r="D393" s="1866" t="s">
        <v>3013</v>
      </c>
      <c r="E393" s="1866" t="s">
        <v>3014</v>
      </c>
      <c r="F393" s="1866" t="s">
        <v>2584</v>
      </c>
      <c r="G393" s="1866" t="s">
        <v>3015</v>
      </c>
      <c r="H393" s="1866" t="s">
        <v>28</v>
      </c>
      <c r="I393" s="1866" t="s">
        <v>1059</v>
      </c>
    </row>
    <row customHeight="1" ht="11.25">
      <c r="A394" s="1866" t="s">
        <v>2394</v>
      </c>
      <c r="B394" s="1866" t="s">
        <v>16</v>
      </c>
      <c r="C394" s="1866" t="s">
        <v>3016</v>
      </c>
      <c r="D394" s="1866" t="s">
        <v>3017</v>
      </c>
      <c r="E394" s="1866" t="s">
        <v>3018</v>
      </c>
      <c r="F394" s="1866" t="s">
        <v>2401</v>
      </c>
      <c r="G394" s="1866" t="s">
        <v>3019</v>
      </c>
      <c r="H394" s="1866" t="s">
        <v>28</v>
      </c>
      <c r="I394" s="1866" t="s">
        <v>1059</v>
      </c>
    </row>
    <row customHeight="1" ht="11.25">
      <c r="A395" s="1866" t="s">
        <v>2394</v>
      </c>
      <c r="B395" s="1866" t="s">
        <v>16</v>
      </c>
      <c r="C395" s="1866" t="s">
        <v>3020</v>
      </c>
      <c r="D395" s="1866" t="s">
        <v>3021</v>
      </c>
      <c r="E395" s="1866" t="s">
        <v>3022</v>
      </c>
      <c r="F395" s="1866" t="s">
        <v>2540</v>
      </c>
      <c r="G395" s="1866" t="s">
        <v>28</v>
      </c>
      <c r="H395" s="1866" t="s">
        <v>28</v>
      </c>
      <c r="I395" s="1866" t="s">
        <v>1059</v>
      </c>
    </row>
    <row customHeight="1" ht="11.25">
      <c r="A396" s="1866" t="s">
        <v>2394</v>
      </c>
      <c r="B396" s="1866" t="s">
        <v>16</v>
      </c>
      <c r="C396" s="1866" t="s">
        <v>3023</v>
      </c>
      <c r="D396" s="1866" t="s">
        <v>3024</v>
      </c>
      <c r="E396" s="1866" t="s">
        <v>3025</v>
      </c>
      <c r="F396" s="1866" t="s">
        <v>2820</v>
      </c>
      <c r="G396" s="1866" t="s">
        <v>3026</v>
      </c>
      <c r="H396" s="1866" t="s">
        <v>28</v>
      </c>
      <c r="I396" s="1866" t="s">
        <v>1059</v>
      </c>
    </row>
    <row customHeight="1" ht="11.25">
      <c r="A397" s="1866" t="s">
        <v>2394</v>
      </c>
      <c r="B397" s="1866" t="s">
        <v>16</v>
      </c>
      <c r="C397" s="1866" t="s">
        <v>3027</v>
      </c>
      <c r="D397" s="1866" t="s">
        <v>3028</v>
      </c>
      <c r="E397" s="1866" t="s">
        <v>3029</v>
      </c>
      <c r="F397" s="1866" t="s">
        <v>2464</v>
      </c>
      <c r="G397" s="1866" t="s">
        <v>3030</v>
      </c>
      <c r="H397" s="1866" t="s">
        <v>28</v>
      </c>
      <c r="I397" s="1866" t="s">
        <v>1059</v>
      </c>
    </row>
    <row customHeight="1" ht="11.25">
      <c r="A398" s="1866" t="s">
        <v>2394</v>
      </c>
      <c r="B398" s="1866" t="s">
        <v>16</v>
      </c>
      <c r="C398" s="1866" t="s">
        <v>3177</v>
      </c>
      <c r="D398" s="1866" t="s">
        <v>3178</v>
      </c>
      <c r="E398" s="1866" t="s">
        <v>3179</v>
      </c>
      <c r="F398" s="1866" t="s">
        <v>2397</v>
      </c>
      <c r="G398" s="1866" t="s">
        <v>28</v>
      </c>
      <c r="H398" s="1866" t="s">
        <v>3180</v>
      </c>
      <c r="I398" s="1866" t="s">
        <v>1059</v>
      </c>
    </row>
    <row customHeight="1" ht="11.25">
      <c r="A399" s="1866" t="s">
        <v>2394</v>
      </c>
      <c r="B399" s="1866" t="s">
        <v>16</v>
      </c>
      <c r="C399" s="1866" t="s">
        <v>2662</v>
      </c>
      <c r="D399" s="1866" t="s">
        <v>2663</v>
      </c>
      <c r="E399" s="1866" t="s">
        <v>2664</v>
      </c>
      <c r="F399" s="1866" t="s">
        <v>2630</v>
      </c>
      <c r="G399" s="1866" t="s">
        <v>28</v>
      </c>
      <c r="H399" s="1866" t="s">
        <v>28</v>
      </c>
      <c r="I399" s="1866" t="s">
        <v>1059</v>
      </c>
    </row>
    <row customHeight="1" ht="11.25">
      <c r="A400" s="1866" t="s">
        <v>2394</v>
      </c>
      <c r="B400" s="1866" t="s">
        <v>16</v>
      </c>
      <c r="C400" s="1866" t="s">
        <v>3035</v>
      </c>
      <c r="D400" s="1866" t="s">
        <v>3036</v>
      </c>
      <c r="E400" s="1866" t="s">
        <v>3037</v>
      </c>
      <c r="F400" s="1866" t="s">
        <v>2584</v>
      </c>
      <c r="G400" s="1866" t="s">
        <v>28</v>
      </c>
      <c r="H400" s="1866" t="s">
        <v>28</v>
      </c>
      <c r="I400" s="1866" t="s">
        <v>1059</v>
      </c>
    </row>
    <row customHeight="1" ht="11.25">
      <c r="A401" s="1866" t="s">
        <v>2394</v>
      </c>
      <c r="B401" s="1866" t="s">
        <v>16</v>
      </c>
      <c r="C401" s="1866" t="s">
        <v>3038</v>
      </c>
      <c r="D401" s="1866" t="s">
        <v>3039</v>
      </c>
      <c r="E401" s="1866" t="s">
        <v>3040</v>
      </c>
      <c r="F401" s="1866" t="s">
        <v>2455</v>
      </c>
      <c r="G401" s="1866" t="s">
        <v>3041</v>
      </c>
      <c r="H401" s="1866" t="s">
        <v>28</v>
      </c>
      <c r="I401" s="1866" t="s">
        <v>1059</v>
      </c>
    </row>
    <row customHeight="1" ht="11.25">
      <c r="A402" s="1866" t="s">
        <v>2394</v>
      </c>
      <c r="B402" s="1866" t="s">
        <v>16</v>
      </c>
      <c r="C402" s="1866" t="s">
        <v>2675</v>
      </c>
      <c r="D402" s="1866" t="s">
        <v>2676</v>
      </c>
      <c r="E402" s="1866" t="s">
        <v>2677</v>
      </c>
      <c r="F402" s="1866" t="s">
        <v>2443</v>
      </c>
      <c r="G402" s="1866" t="s">
        <v>28</v>
      </c>
      <c r="H402" s="1866" t="s">
        <v>28</v>
      </c>
      <c r="I402" s="1866" t="s">
        <v>1059</v>
      </c>
    </row>
    <row customHeight="1" ht="11.25">
      <c r="A403" s="1866" t="s">
        <v>2394</v>
      </c>
      <c r="B403" s="1866" t="s">
        <v>16</v>
      </c>
      <c r="C403" s="1866" t="s">
        <v>2693</v>
      </c>
      <c r="D403" s="1866" t="s">
        <v>2694</v>
      </c>
      <c r="E403" s="1866" t="s">
        <v>2695</v>
      </c>
      <c r="F403" s="1866" t="s">
        <v>2605</v>
      </c>
      <c r="G403" s="1866" t="s">
        <v>2696</v>
      </c>
      <c r="H403" s="1866" t="s">
        <v>28</v>
      </c>
      <c r="I403" s="1866" t="s">
        <v>1059</v>
      </c>
    </row>
    <row customHeight="1" ht="11.25">
      <c r="A404" s="1866" t="s">
        <v>2394</v>
      </c>
      <c r="B404" s="1866" t="s">
        <v>16</v>
      </c>
      <c r="C404" s="1866" t="s">
        <v>3042</v>
      </c>
      <c r="D404" s="1866" t="s">
        <v>3043</v>
      </c>
      <c r="E404" s="1866" t="s">
        <v>3044</v>
      </c>
      <c r="F404" s="1866" t="s">
        <v>2591</v>
      </c>
      <c r="G404" s="1866" t="s">
        <v>28</v>
      </c>
      <c r="H404" s="1866" t="s">
        <v>28</v>
      </c>
      <c r="I404" s="1866" t="s">
        <v>1059</v>
      </c>
    </row>
    <row customHeight="1" ht="11.25">
      <c r="A405" s="1866" t="s">
        <v>2394</v>
      </c>
      <c r="B405" s="1866" t="s">
        <v>16</v>
      </c>
      <c r="C405" s="1866" t="s">
        <v>3045</v>
      </c>
      <c r="D405" s="1866" t="s">
        <v>3046</v>
      </c>
      <c r="E405" s="1866" t="s">
        <v>3047</v>
      </c>
      <c r="F405" s="1866" t="s">
        <v>2540</v>
      </c>
      <c r="G405" s="1866" t="s">
        <v>28</v>
      </c>
      <c r="H405" s="1866" t="s">
        <v>28</v>
      </c>
      <c r="I405" s="1866" t="s">
        <v>1059</v>
      </c>
    </row>
    <row customHeight="1" ht="11.25">
      <c r="A406" s="1866" t="s">
        <v>2394</v>
      </c>
      <c r="B406" s="1866" t="s">
        <v>16</v>
      </c>
      <c r="C406" s="1866" t="s">
        <v>3048</v>
      </c>
      <c r="D406" s="1866" t="s">
        <v>3049</v>
      </c>
      <c r="E406" s="1866" t="s">
        <v>3050</v>
      </c>
      <c r="F406" s="1866" t="s">
        <v>3051</v>
      </c>
      <c r="G406" s="1866" t="s">
        <v>28</v>
      </c>
      <c r="H406" s="1866" t="s">
        <v>28</v>
      </c>
      <c r="I406" s="1866" t="s">
        <v>1059</v>
      </c>
    </row>
    <row customHeight="1" ht="11.25">
      <c r="A407" s="1866" t="s">
        <v>2394</v>
      </c>
      <c r="B407" s="1866" t="s">
        <v>16</v>
      </c>
      <c r="C407" s="1866" t="s">
        <v>3052</v>
      </c>
      <c r="D407" s="1866" t="s">
        <v>3053</v>
      </c>
      <c r="E407" s="1866" t="s">
        <v>3054</v>
      </c>
      <c r="F407" s="1866" t="s">
        <v>2605</v>
      </c>
      <c r="G407" s="1866" t="s">
        <v>28</v>
      </c>
      <c r="H407" s="1866" t="s">
        <v>28</v>
      </c>
      <c r="I407" s="1866" t="s">
        <v>1059</v>
      </c>
    </row>
    <row customHeight="1" ht="11.25">
      <c r="A408" s="1866" t="s">
        <v>2394</v>
      </c>
      <c r="B408" s="1866" t="s">
        <v>16</v>
      </c>
      <c r="C408" s="1866" t="s">
        <v>3055</v>
      </c>
      <c r="D408" s="1866" t="s">
        <v>3056</v>
      </c>
      <c r="E408" s="1866" t="s">
        <v>3057</v>
      </c>
      <c r="F408" s="1866" t="s">
        <v>2431</v>
      </c>
      <c r="G408" s="1866" t="s">
        <v>28</v>
      </c>
      <c r="H408" s="1866" t="s">
        <v>28</v>
      </c>
      <c r="I408" s="1866" t="s">
        <v>1059</v>
      </c>
    </row>
    <row customHeight="1" ht="11.25">
      <c r="A409" s="1866" t="s">
        <v>2394</v>
      </c>
      <c r="B409" s="1866" t="s">
        <v>16</v>
      </c>
      <c r="C409" s="1866" t="s">
        <v>2712</v>
      </c>
      <c r="D409" s="1866" t="s">
        <v>2713</v>
      </c>
      <c r="E409" s="1866" t="s">
        <v>2714</v>
      </c>
      <c r="F409" s="1866" t="s">
        <v>2584</v>
      </c>
      <c r="G409" s="1866" t="s">
        <v>2465</v>
      </c>
      <c r="H409" s="1866" t="s">
        <v>28</v>
      </c>
      <c r="I409" s="1866" t="s">
        <v>1059</v>
      </c>
    </row>
    <row customHeight="1" ht="11.25">
      <c r="A410" s="1866" t="s">
        <v>2394</v>
      </c>
      <c r="B410" s="1866" t="s">
        <v>16</v>
      </c>
      <c r="C410" s="1866" t="s">
        <v>3181</v>
      </c>
      <c r="D410" s="1866" t="s">
        <v>3182</v>
      </c>
      <c r="E410" s="1866" t="s">
        <v>3183</v>
      </c>
      <c r="F410" s="1866" t="s">
        <v>2409</v>
      </c>
      <c r="G410" s="1866" t="s">
        <v>3184</v>
      </c>
      <c r="H410" s="1866" t="s">
        <v>28</v>
      </c>
      <c r="I410" s="1866" t="s">
        <v>1059</v>
      </c>
    </row>
    <row customHeight="1" ht="11.25">
      <c r="A411" s="1866" t="s">
        <v>2394</v>
      </c>
      <c r="B411" s="1866" t="s">
        <v>16</v>
      </c>
      <c r="C411" s="1866" t="s">
        <v>3058</v>
      </c>
      <c r="D411" s="1866" t="s">
        <v>3059</v>
      </c>
      <c r="E411" s="1866" t="s">
        <v>3060</v>
      </c>
      <c r="F411" s="1866" t="s">
        <v>2584</v>
      </c>
      <c r="G411" s="1866" t="s">
        <v>28</v>
      </c>
      <c r="H411" s="1866" t="s">
        <v>28</v>
      </c>
      <c r="I411" s="1866" t="s">
        <v>1059</v>
      </c>
    </row>
    <row customHeight="1" ht="11.25">
      <c r="A412" s="1866" t="s">
        <v>2394</v>
      </c>
      <c r="B412" s="1866" t="s">
        <v>16</v>
      </c>
      <c r="C412" s="1866" t="s">
        <v>2735</v>
      </c>
      <c r="D412" s="1866" t="s">
        <v>2736</v>
      </c>
      <c r="E412" s="1866" t="s">
        <v>2737</v>
      </c>
      <c r="F412" s="1866" t="s">
        <v>2738</v>
      </c>
      <c r="G412" s="1866" t="s">
        <v>28</v>
      </c>
      <c r="H412" s="1866" t="s">
        <v>28</v>
      </c>
      <c r="I412" s="1866" t="s">
        <v>1059</v>
      </c>
    </row>
    <row customHeight="1" ht="11.25">
      <c r="A413" s="1866" t="s">
        <v>2394</v>
      </c>
      <c r="B413" s="1866" t="s">
        <v>16</v>
      </c>
      <c r="C413" s="1866" t="s">
        <v>3064</v>
      </c>
      <c r="D413" s="1866" t="s">
        <v>3065</v>
      </c>
      <c r="E413" s="1866" t="s">
        <v>3066</v>
      </c>
      <c r="F413" s="1866" t="s">
        <v>2431</v>
      </c>
      <c r="G413" s="1866" t="s">
        <v>28</v>
      </c>
      <c r="H413" s="1866" t="s">
        <v>3067</v>
      </c>
      <c r="I413" s="1866" t="s">
        <v>1059</v>
      </c>
    </row>
    <row customHeight="1" ht="11.25">
      <c r="A414" s="1866" t="s">
        <v>2394</v>
      </c>
      <c r="B414" s="1866" t="s">
        <v>16</v>
      </c>
      <c r="C414" s="1866" t="s">
        <v>3068</v>
      </c>
      <c r="D414" s="1866" t="s">
        <v>3069</v>
      </c>
      <c r="E414" s="1866" t="s">
        <v>3070</v>
      </c>
      <c r="F414" s="1866" t="s">
        <v>2630</v>
      </c>
      <c r="G414" s="1866" t="s">
        <v>28</v>
      </c>
      <c r="H414" s="1866" t="s">
        <v>28</v>
      </c>
      <c r="I414" s="1866" t="s">
        <v>1059</v>
      </c>
    </row>
    <row customHeight="1" ht="11.25">
      <c r="A415" s="1866" t="s">
        <v>2394</v>
      </c>
      <c r="B415" s="1866" t="s">
        <v>16</v>
      </c>
      <c r="C415" s="1866" t="s">
        <v>3077</v>
      </c>
      <c r="D415" s="1866" t="s">
        <v>3078</v>
      </c>
      <c r="E415" s="1866" t="s">
        <v>3079</v>
      </c>
      <c r="F415" s="1866" t="s">
        <v>2509</v>
      </c>
      <c r="G415" s="1866" t="s">
        <v>28</v>
      </c>
      <c r="H415" s="1866" t="s">
        <v>28</v>
      </c>
      <c r="I415" s="1866" t="s">
        <v>1059</v>
      </c>
    </row>
    <row customHeight="1" ht="11.25">
      <c r="A416" s="1866" t="s">
        <v>2394</v>
      </c>
      <c r="B416" s="1866" t="s">
        <v>16</v>
      </c>
      <c r="C416" s="1866" t="s">
        <v>3080</v>
      </c>
      <c r="D416" s="1866" t="s">
        <v>3081</v>
      </c>
      <c r="E416" s="1866" t="s">
        <v>3082</v>
      </c>
      <c r="F416" s="1866" t="s">
        <v>2397</v>
      </c>
      <c r="G416" s="1866" t="s">
        <v>28</v>
      </c>
      <c r="H416" s="1866" t="s">
        <v>28</v>
      </c>
      <c r="I416" s="1866" t="s">
        <v>1059</v>
      </c>
    </row>
    <row customHeight="1" ht="11.25">
      <c r="A417" s="1866" t="s">
        <v>2394</v>
      </c>
      <c r="B417" s="1866" t="s">
        <v>16</v>
      </c>
      <c r="C417" s="1866" t="s">
        <v>3086</v>
      </c>
      <c r="D417" s="1866" t="s">
        <v>3087</v>
      </c>
      <c r="E417" s="1866" t="s">
        <v>3088</v>
      </c>
      <c r="F417" s="1866" t="s">
        <v>2455</v>
      </c>
      <c r="G417" s="1866" t="s">
        <v>3089</v>
      </c>
      <c r="H417" s="1866" t="s">
        <v>28</v>
      </c>
      <c r="I417" s="1866" t="s">
        <v>1059</v>
      </c>
    </row>
    <row customHeight="1" ht="11.25">
      <c r="A418" s="1866" t="s">
        <v>2394</v>
      </c>
      <c r="B418" s="1866" t="s">
        <v>16</v>
      </c>
      <c r="C418" s="1866" t="s">
        <v>3090</v>
      </c>
      <c r="D418" s="1866" t="s">
        <v>3091</v>
      </c>
      <c r="E418" s="1866" t="s">
        <v>2396</v>
      </c>
      <c r="F418" s="1866" t="s">
        <v>2397</v>
      </c>
      <c r="G418" s="1866" t="s">
        <v>28</v>
      </c>
      <c r="H418" s="1866" t="s">
        <v>28</v>
      </c>
      <c r="I418" s="1866" t="s">
        <v>1059</v>
      </c>
    </row>
    <row customHeight="1" ht="11.25">
      <c r="A419" s="1866" t="s">
        <v>2394</v>
      </c>
      <c r="B419" s="1866" t="s">
        <v>16</v>
      </c>
      <c r="C419" s="1866" t="s">
        <v>3092</v>
      </c>
      <c r="D419" s="1866" t="s">
        <v>3093</v>
      </c>
      <c r="E419" s="1866" t="s">
        <v>3094</v>
      </c>
      <c r="F419" s="1866" t="s">
        <v>2401</v>
      </c>
      <c r="G419" s="1866" t="s">
        <v>28</v>
      </c>
      <c r="H419" s="1866" t="s">
        <v>28</v>
      </c>
      <c r="I419" s="1866" t="s">
        <v>1059</v>
      </c>
    </row>
    <row customHeight="1" ht="11.25">
      <c r="A420" s="1866" t="s">
        <v>2394</v>
      </c>
      <c r="B420" s="1866" t="s">
        <v>16</v>
      </c>
      <c r="C420" s="1866" t="s">
        <v>3095</v>
      </c>
      <c r="D420" s="1866" t="s">
        <v>3096</v>
      </c>
      <c r="E420" s="1866" t="s">
        <v>3097</v>
      </c>
      <c r="F420" s="1866" t="s">
        <v>2401</v>
      </c>
      <c r="G420" s="1866" t="s">
        <v>28</v>
      </c>
      <c r="H420" s="1866" t="s">
        <v>28</v>
      </c>
      <c r="I420" s="1866" t="s">
        <v>1059</v>
      </c>
    </row>
    <row customHeight="1" ht="11.25">
      <c r="A421" s="1866" t="s">
        <v>2394</v>
      </c>
      <c r="B421" s="1866" t="s">
        <v>16</v>
      </c>
      <c r="C421" s="1866" t="s">
        <v>2742</v>
      </c>
      <c r="D421" s="1866" t="s">
        <v>2743</v>
      </c>
      <c r="E421" s="1866" t="s">
        <v>2744</v>
      </c>
      <c r="F421" s="1866" t="s">
        <v>2414</v>
      </c>
      <c r="G421" s="1866" t="s">
        <v>28</v>
      </c>
      <c r="H421" s="1866" t="s">
        <v>28</v>
      </c>
      <c r="I421" s="1866" t="s">
        <v>1059</v>
      </c>
    </row>
    <row customHeight="1" ht="11.25">
      <c r="A422" s="1866" t="s">
        <v>2394</v>
      </c>
      <c r="B422" s="1866" t="s">
        <v>16</v>
      </c>
      <c r="C422" s="1866" t="s">
        <v>2753</v>
      </c>
      <c r="D422" s="1866" t="s">
        <v>2754</v>
      </c>
      <c r="E422" s="1866" t="s">
        <v>2755</v>
      </c>
      <c r="F422" s="1866" t="s">
        <v>2724</v>
      </c>
      <c r="G422" s="1866" t="s">
        <v>2756</v>
      </c>
      <c r="H422" s="1866" t="s">
        <v>28</v>
      </c>
      <c r="I422" s="1866" t="s">
        <v>1059</v>
      </c>
    </row>
    <row customHeight="1" ht="11.25">
      <c r="A423" s="1866" t="s">
        <v>2394</v>
      </c>
      <c r="B423" s="1866" t="s">
        <v>16</v>
      </c>
      <c r="C423" s="1866" t="s">
        <v>2757</v>
      </c>
      <c r="D423" s="1866" t="s">
        <v>2758</v>
      </c>
      <c r="E423" s="1866" t="s">
        <v>2759</v>
      </c>
      <c r="F423" s="1866" t="s">
        <v>2455</v>
      </c>
      <c r="G423" s="1866" t="s">
        <v>2760</v>
      </c>
      <c r="H423" s="1866" t="s">
        <v>28</v>
      </c>
      <c r="I423" s="1866" t="s">
        <v>1059</v>
      </c>
    </row>
    <row customHeight="1" ht="11.25">
      <c r="A424" s="1866" t="s">
        <v>2394</v>
      </c>
      <c r="B424" s="1866" t="s">
        <v>16</v>
      </c>
      <c r="C424" s="1866" t="s">
        <v>3104</v>
      </c>
      <c r="D424" s="1866" t="s">
        <v>3105</v>
      </c>
      <c r="E424" s="1866" t="s">
        <v>3106</v>
      </c>
      <c r="F424" s="1866" t="s">
        <v>3107</v>
      </c>
      <c r="G424" s="1866" t="s">
        <v>28</v>
      </c>
      <c r="H424" s="1866" t="s">
        <v>28</v>
      </c>
      <c r="I424" s="1866" t="s">
        <v>1059</v>
      </c>
    </row>
    <row customHeight="1" ht="11.25">
      <c r="A425" s="1866" t="s">
        <v>2394</v>
      </c>
      <c r="B425" s="1866" t="s">
        <v>16</v>
      </c>
      <c r="C425" s="1866" t="s">
        <v>3108</v>
      </c>
      <c r="D425" s="1866" t="s">
        <v>3109</v>
      </c>
      <c r="E425" s="1866" t="s">
        <v>3110</v>
      </c>
      <c r="F425" s="1866" t="s">
        <v>2540</v>
      </c>
      <c r="G425" s="1866" t="s">
        <v>28</v>
      </c>
      <c r="H425" s="1866" t="s">
        <v>28</v>
      </c>
      <c r="I425" s="1866" t="s">
        <v>1059</v>
      </c>
    </row>
    <row customHeight="1" ht="11.25">
      <c r="A426" s="1866" t="s">
        <v>2394</v>
      </c>
      <c r="B426" s="1866" t="s">
        <v>16</v>
      </c>
      <c r="C426" s="1866" t="s">
        <v>2771</v>
      </c>
      <c r="D426" s="1866" t="s">
        <v>2772</v>
      </c>
      <c r="E426" s="1866" t="s">
        <v>2773</v>
      </c>
      <c r="F426" s="1866" t="s">
        <v>2605</v>
      </c>
      <c r="G426" s="1866" t="s">
        <v>28</v>
      </c>
      <c r="H426" s="1866" t="s">
        <v>28</v>
      </c>
      <c r="I426" s="1866" t="s">
        <v>1059</v>
      </c>
    </row>
    <row customHeight="1" ht="11.25">
      <c r="A427" s="1866" t="s">
        <v>2394</v>
      </c>
      <c r="B427" s="1866" t="s">
        <v>16</v>
      </c>
      <c r="C427" s="1866" t="s">
        <v>2774</v>
      </c>
      <c r="D427" s="1866" t="s">
        <v>2775</v>
      </c>
      <c r="E427" s="1866" t="s">
        <v>2776</v>
      </c>
      <c r="F427" s="1866" t="s">
        <v>2777</v>
      </c>
      <c r="G427" s="1866" t="s">
        <v>2778</v>
      </c>
      <c r="H427" s="1866" t="s">
        <v>28</v>
      </c>
      <c r="I427" s="1866" t="s">
        <v>1059</v>
      </c>
    </row>
    <row customHeight="1" ht="11.25">
      <c r="A428" s="1866" t="s">
        <v>2394</v>
      </c>
      <c r="B428" s="1866" t="s">
        <v>16</v>
      </c>
      <c r="C428" s="1866" t="s">
        <v>2779</v>
      </c>
      <c r="D428" s="1866" t="s">
        <v>2780</v>
      </c>
      <c r="E428" s="1866" t="s">
        <v>2781</v>
      </c>
      <c r="F428" s="1866" t="s">
        <v>2605</v>
      </c>
      <c r="G428" s="1866" t="s">
        <v>28</v>
      </c>
      <c r="H428" s="1866" t="s">
        <v>28</v>
      </c>
      <c r="I428" s="1866" t="s">
        <v>1059</v>
      </c>
    </row>
    <row customHeight="1" ht="11.25">
      <c r="A429" s="1866" t="s">
        <v>2394</v>
      </c>
      <c r="B429" s="1866" t="s">
        <v>16</v>
      </c>
      <c r="C429" s="1866" t="s">
        <v>2785</v>
      </c>
      <c r="D429" s="1866" t="s">
        <v>2786</v>
      </c>
      <c r="E429" s="1866" t="s">
        <v>2787</v>
      </c>
      <c r="F429" s="1866" t="s">
        <v>2540</v>
      </c>
      <c r="G429" s="1866" t="s">
        <v>28</v>
      </c>
      <c r="H429" s="1866" t="s">
        <v>28</v>
      </c>
      <c r="I429" s="1866" t="s">
        <v>1059</v>
      </c>
    </row>
    <row customHeight="1" ht="11.25">
      <c r="A430" s="1866" t="s">
        <v>2394</v>
      </c>
      <c r="B430" s="1866" t="s">
        <v>16</v>
      </c>
      <c r="C430" s="1866" t="s">
        <v>3111</v>
      </c>
      <c r="D430" s="1866" t="s">
        <v>3112</v>
      </c>
      <c r="E430" s="1866" t="s">
        <v>3113</v>
      </c>
      <c r="F430" s="1866" t="s">
        <v>2922</v>
      </c>
      <c r="G430" s="1866" t="s">
        <v>28</v>
      </c>
      <c r="H430" s="1866" t="s">
        <v>28</v>
      </c>
      <c r="I430" s="1866" t="s">
        <v>1059</v>
      </c>
    </row>
    <row customHeight="1" ht="11.25">
      <c r="A431" s="1866" t="s">
        <v>2394</v>
      </c>
      <c r="B431" s="1866" t="s">
        <v>16</v>
      </c>
      <c r="C431" s="1866" t="s">
        <v>3114</v>
      </c>
      <c r="D431" s="1866" t="s">
        <v>3115</v>
      </c>
      <c r="E431" s="1866" t="s">
        <v>3116</v>
      </c>
      <c r="F431" s="1866" t="s">
        <v>2922</v>
      </c>
      <c r="G431" s="1866" t="s">
        <v>28</v>
      </c>
      <c r="H431" s="1866" t="s">
        <v>28</v>
      </c>
      <c r="I431" s="1866" t="s">
        <v>1059</v>
      </c>
    </row>
    <row customHeight="1" ht="11.25">
      <c r="A432" s="1866" t="s">
        <v>2394</v>
      </c>
      <c r="B432" s="1866" t="s">
        <v>16</v>
      </c>
      <c r="C432" s="1866" t="s">
        <v>3117</v>
      </c>
      <c r="D432" s="1866" t="s">
        <v>3118</v>
      </c>
      <c r="E432" s="1866" t="s">
        <v>3119</v>
      </c>
      <c r="F432" s="1866" t="s">
        <v>2431</v>
      </c>
      <c r="G432" s="1866" t="s">
        <v>28</v>
      </c>
      <c r="H432" s="1866" t="s">
        <v>28</v>
      </c>
      <c r="I432" s="1866" t="s">
        <v>1059</v>
      </c>
    </row>
    <row customHeight="1" ht="11.25">
      <c r="A433" s="1866" t="s">
        <v>2394</v>
      </c>
      <c r="B433" s="1866" t="s">
        <v>16</v>
      </c>
      <c r="C433" s="1866" t="s">
        <v>2788</v>
      </c>
      <c r="D433" s="1866" t="s">
        <v>2789</v>
      </c>
      <c r="E433" s="1866" t="s">
        <v>2790</v>
      </c>
      <c r="F433" s="1866" t="s">
        <v>2405</v>
      </c>
      <c r="G433" s="1866" t="s">
        <v>28</v>
      </c>
      <c r="H433" s="1866" t="s">
        <v>28</v>
      </c>
      <c r="I433" s="1866" t="s">
        <v>1059</v>
      </c>
    </row>
    <row customHeight="1" ht="11.25">
      <c r="A434" s="1866" t="s">
        <v>2394</v>
      </c>
      <c r="B434" s="1866" t="s">
        <v>16</v>
      </c>
      <c r="C434" s="1866" t="s">
        <v>2791</v>
      </c>
      <c r="D434" s="1866" t="s">
        <v>2792</v>
      </c>
      <c r="E434" s="1866" t="s">
        <v>2793</v>
      </c>
      <c r="F434" s="1866" t="s">
        <v>2794</v>
      </c>
      <c r="G434" s="1866" t="s">
        <v>28</v>
      </c>
      <c r="H434" s="1866" t="s">
        <v>28</v>
      </c>
      <c r="I434" s="1866" t="s">
        <v>1059</v>
      </c>
    </row>
    <row customHeight="1" ht="11.25">
      <c r="A435" s="1866" t="s">
        <v>2394</v>
      </c>
      <c r="B435" s="1866" t="s">
        <v>16</v>
      </c>
      <c r="C435" s="1866" t="s">
        <v>3129</v>
      </c>
      <c r="D435" s="1866" t="s">
        <v>3130</v>
      </c>
      <c r="E435" s="1866" t="s">
        <v>3131</v>
      </c>
      <c r="F435" s="1866" t="s">
        <v>2978</v>
      </c>
      <c r="G435" s="1866" t="s">
        <v>3132</v>
      </c>
      <c r="H435" s="1866" t="s">
        <v>28</v>
      </c>
      <c r="I435" s="1866" t="s">
        <v>1059</v>
      </c>
    </row>
    <row customHeight="1" ht="11.25">
      <c r="A436" s="1866" t="s">
        <v>2394</v>
      </c>
      <c r="B436" s="1866" t="s">
        <v>16</v>
      </c>
      <c r="C436" s="1866" t="s">
        <v>3133</v>
      </c>
      <c r="D436" s="1866" t="s">
        <v>3134</v>
      </c>
      <c r="E436" s="1866" t="s">
        <v>3135</v>
      </c>
      <c r="F436" s="1866" t="s">
        <v>2509</v>
      </c>
      <c r="G436" s="1866" t="s">
        <v>28</v>
      </c>
      <c r="H436" s="1866" t="s">
        <v>28</v>
      </c>
      <c r="I436" s="1866" t="s">
        <v>1059</v>
      </c>
    </row>
    <row customHeight="1" ht="11.25">
      <c r="A437" s="1866" t="s">
        <v>2394</v>
      </c>
      <c r="B437" s="1866" t="s">
        <v>16</v>
      </c>
      <c r="C437" s="1866" t="s">
        <v>3136</v>
      </c>
      <c r="D437" s="1866" t="s">
        <v>3137</v>
      </c>
      <c r="E437" s="1866" t="s">
        <v>3138</v>
      </c>
      <c r="F437" s="1866" t="s">
        <v>2532</v>
      </c>
      <c r="G437" s="1866" t="s">
        <v>28</v>
      </c>
      <c r="H437" s="1866" t="s">
        <v>28</v>
      </c>
      <c r="I437" s="1866" t="s">
        <v>1059</v>
      </c>
    </row>
    <row customHeight="1" ht="11.25">
      <c r="A438" s="1866" t="s">
        <v>2394</v>
      </c>
      <c r="B438" s="1866" t="s">
        <v>16</v>
      </c>
      <c r="C438" s="1866" t="s">
        <v>3145</v>
      </c>
      <c r="D438" s="1866" t="s">
        <v>3146</v>
      </c>
      <c r="E438" s="1866" t="s">
        <v>3147</v>
      </c>
      <c r="F438" s="1866" t="s">
        <v>2922</v>
      </c>
      <c r="G438" s="1866" t="s">
        <v>3148</v>
      </c>
      <c r="H438" s="1866" t="s">
        <v>28</v>
      </c>
      <c r="I438" s="1866" t="s">
        <v>1059</v>
      </c>
    </row>
    <row customHeight="1" ht="11.25">
      <c r="A439" s="1866" t="s">
        <v>2394</v>
      </c>
      <c r="B439" s="1866" t="s">
        <v>16</v>
      </c>
      <c r="C439" s="1866" t="s">
        <v>3149</v>
      </c>
      <c r="D439" s="1866" t="s">
        <v>3150</v>
      </c>
      <c r="E439" s="1866" t="s">
        <v>3151</v>
      </c>
      <c r="F439" s="1866" t="s">
        <v>2464</v>
      </c>
      <c r="G439" s="1866" t="s">
        <v>28</v>
      </c>
      <c r="H439" s="1866" t="s">
        <v>28</v>
      </c>
      <c r="I439" s="1866" t="s">
        <v>1059</v>
      </c>
    </row>
    <row customHeight="1" ht="11.25">
      <c r="A440" s="1866" t="s">
        <v>2394</v>
      </c>
      <c r="B440" s="1866" t="s">
        <v>16</v>
      </c>
      <c r="C440" s="1866" t="s">
        <v>2821</v>
      </c>
      <c r="D440" s="1866" t="s">
        <v>2822</v>
      </c>
      <c r="E440" s="1866" t="s">
        <v>2823</v>
      </c>
      <c r="F440" s="1866" t="s">
        <v>2431</v>
      </c>
      <c r="G440" s="1866" t="s">
        <v>28</v>
      </c>
      <c r="H440" s="1866" t="s">
        <v>28</v>
      </c>
      <c r="I440" s="1866" t="s">
        <v>1059</v>
      </c>
    </row>
    <row customHeight="1" ht="11.25">
      <c r="A441" s="1866" t="s">
        <v>2394</v>
      </c>
      <c r="B441" s="1866" t="s">
        <v>16</v>
      </c>
      <c r="C441" s="1866" t="s">
        <v>28</v>
      </c>
      <c r="D441" s="1866" t="s">
        <v>2395</v>
      </c>
      <c r="E441" s="1866" t="s">
        <v>2396</v>
      </c>
      <c r="F441" s="1866" t="s">
        <v>2397</v>
      </c>
      <c r="G441" s="1866" t="s">
        <v>28</v>
      </c>
      <c r="H441" s="1866" t="s">
        <v>28</v>
      </c>
      <c r="I441" s="1866" t="s">
        <v>1769</v>
      </c>
    </row>
    <row customHeight="1" ht="11.25">
      <c r="A442" s="1866" t="s">
        <v>2394</v>
      </c>
      <c r="B442" s="1866" t="s">
        <v>16</v>
      </c>
      <c r="C442" s="1866" t="s">
        <v>3185</v>
      </c>
      <c r="D442" s="1866" t="s">
        <v>3186</v>
      </c>
      <c r="E442" s="1866" t="s">
        <v>3187</v>
      </c>
      <c r="F442" s="1866" t="s">
        <v>728</v>
      </c>
      <c r="G442" s="1866" t="s">
        <v>3188</v>
      </c>
      <c r="H442" s="1866" t="s">
        <v>28</v>
      </c>
      <c r="I442" s="1866" t="s">
        <v>1769</v>
      </c>
    </row>
    <row customHeight="1" ht="11.25">
      <c r="A443" s="1866" t="s">
        <v>2394</v>
      </c>
      <c r="B443" s="1866" t="s">
        <v>16</v>
      </c>
      <c r="C443" s="1866" t="s">
        <v>2547</v>
      </c>
      <c r="D443" s="1866" t="s">
        <v>2548</v>
      </c>
      <c r="E443" s="1866" t="s">
        <v>2549</v>
      </c>
      <c r="F443" s="1866" t="s">
        <v>54</v>
      </c>
      <c r="G443" s="1866" t="s">
        <v>28</v>
      </c>
      <c r="H443" s="1866" t="s">
        <v>28</v>
      </c>
      <c r="I443" s="1866" t="s">
        <v>1769</v>
      </c>
    </row>
    <row customHeight="1" ht="11.25">
      <c r="A444" s="1866" t="s">
        <v>2394</v>
      </c>
      <c r="B444" s="1866" t="s">
        <v>16</v>
      </c>
      <c r="C444" s="1866" t="s">
        <v>2896</v>
      </c>
      <c r="D444" s="1866" t="s">
        <v>2897</v>
      </c>
      <c r="E444" s="1866" t="s">
        <v>2898</v>
      </c>
      <c r="F444" s="1866" t="s">
        <v>2630</v>
      </c>
      <c r="G444" s="1866" t="s">
        <v>28</v>
      </c>
      <c r="H444" s="1866" t="s">
        <v>28</v>
      </c>
      <c r="I444" s="1866" t="s">
        <v>1769</v>
      </c>
    </row>
    <row customHeight="1" ht="11.25">
      <c r="A445" s="1866" t="s">
        <v>2394</v>
      </c>
      <c r="B445" s="1866" t="s">
        <v>16</v>
      </c>
      <c r="C445" s="1866" t="s">
        <v>3189</v>
      </c>
      <c r="D445" s="1866" t="s">
        <v>3190</v>
      </c>
      <c r="E445" s="1866" t="s">
        <v>3191</v>
      </c>
      <c r="F445" s="1866" t="s">
        <v>2643</v>
      </c>
      <c r="G445" s="1866" t="s">
        <v>3192</v>
      </c>
      <c r="H445" s="1866" t="s">
        <v>28</v>
      </c>
      <c r="I445" s="1866" t="s">
        <v>1769</v>
      </c>
    </row>
    <row customHeight="1" ht="11.25">
      <c r="A446" s="1866" t="s">
        <v>2394</v>
      </c>
      <c r="B446" s="1866" t="s">
        <v>16</v>
      </c>
      <c r="C446" s="1866" t="s">
        <v>2558</v>
      </c>
      <c r="D446" s="1866" t="s">
        <v>2559</v>
      </c>
      <c r="E446" s="1866" t="s">
        <v>2560</v>
      </c>
      <c r="F446" s="1866" t="s">
        <v>2431</v>
      </c>
      <c r="G446" s="1866" t="s">
        <v>28</v>
      </c>
      <c r="H446" s="1866" t="s">
        <v>28</v>
      </c>
      <c r="I446" s="1866" t="s">
        <v>1769</v>
      </c>
    </row>
    <row customHeight="1" ht="11.25">
      <c r="A447" s="1866" t="s">
        <v>2394</v>
      </c>
      <c r="B447" s="1866" t="s">
        <v>16</v>
      </c>
      <c r="C447" s="1866" t="s">
        <v>3193</v>
      </c>
      <c r="D447" s="1866" t="s">
        <v>3194</v>
      </c>
      <c r="E447" s="1866" t="s">
        <v>3195</v>
      </c>
      <c r="F447" s="1866" t="s">
        <v>2532</v>
      </c>
      <c r="G447" s="1866" t="s">
        <v>28</v>
      </c>
      <c r="H447" s="1866" t="s">
        <v>28</v>
      </c>
      <c r="I447" s="1866" t="s">
        <v>1769</v>
      </c>
    </row>
    <row customHeight="1" ht="11.25">
      <c r="A448" s="1866" t="s">
        <v>2394</v>
      </c>
      <c r="B448" s="1866" t="s">
        <v>16</v>
      </c>
      <c r="C448" s="1866" t="s">
        <v>2565</v>
      </c>
      <c r="D448" s="1866" t="s">
        <v>2566</v>
      </c>
      <c r="E448" s="1866" t="s">
        <v>2567</v>
      </c>
      <c r="F448" s="1866" t="s">
        <v>2439</v>
      </c>
      <c r="G448" s="1866" t="s">
        <v>28</v>
      </c>
      <c r="H448" s="1866" t="s">
        <v>28</v>
      </c>
      <c r="I448" s="1866" t="s">
        <v>1769</v>
      </c>
    </row>
    <row customHeight="1" ht="11.25">
      <c r="A449" s="1866" t="s">
        <v>2394</v>
      </c>
      <c r="B449" s="1866" t="s">
        <v>16</v>
      </c>
      <c r="C449" s="1866" t="s">
        <v>2568</v>
      </c>
      <c r="D449" s="1866" t="s">
        <v>2569</v>
      </c>
      <c r="E449" s="1866" t="s">
        <v>2570</v>
      </c>
      <c r="F449" s="1866" t="s">
        <v>2439</v>
      </c>
      <c r="G449" s="1866" t="s">
        <v>28</v>
      </c>
      <c r="H449" s="1866" t="s">
        <v>28</v>
      </c>
      <c r="I449" s="1866" t="s">
        <v>1769</v>
      </c>
    </row>
    <row customHeight="1" ht="11.25">
      <c r="A450" s="1866" t="s">
        <v>2394</v>
      </c>
      <c r="B450" s="1866" t="s">
        <v>16</v>
      </c>
      <c r="C450" s="1866" t="s">
        <v>3196</v>
      </c>
      <c r="D450" s="1866" t="s">
        <v>3197</v>
      </c>
      <c r="E450" s="1866" t="s">
        <v>3198</v>
      </c>
      <c r="F450" s="1866" t="s">
        <v>2574</v>
      </c>
      <c r="G450" s="1866" t="s">
        <v>3199</v>
      </c>
      <c r="H450" s="1866" t="s">
        <v>28</v>
      </c>
      <c r="I450" s="1866" t="s">
        <v>1769</v>
      </c>
    </row>
    <row customHeight="1" ht="11.25">
      <c r="A451" s="1866" t="s">
        <v>2394</v>
      </c>
      <c r="B451" s="1866" t="s">
        <v>16</v>
      </c>
      <c r="C451" s="1866" t="s">
        <v>3200</v>
      </c>
      <c r="D451" s="1866" t="s">
        <v>3201</v>
      </c>
      <c r="E451" s="1866" t="s">
        <v>3202</v>
      </c>
      <c r="F451" s="1866" t="s">
        <v>2557</v>
      </c>
      <c r="G451" s="1866" t="s">
        <v>28</v>
      </c>
      <c r="H451" s="1866" t="s">
        <v>28</v>
      </c>
      <c r="I451" s="1866" t="s">
        <v>1769</v>
      </c>
    </row>
    <row customHeight="1" ht="11.25">
      <c r="A452" s="1866" t="s">
        <v>2394</v>
      </c>
      <c r="B452" s="1866" t="s">
        <v>16</v>
      </c>
      <c r="C452" s="1866" t="s">
        <v>3203</v>
      </c>
      <c r="D452" s="1866" t="s">
        <v>3204</v>
      </c>
      <c r="E452" s="1866" t="s">
        <v>3205</v>
      </c>
      <c r="F452" s="1866" t="s">
        <v>2443</v>
      </c>
      <c r="G452" s="1866" t="s">
        <v>28</v>
      </c>
      <c r="H452" s="1866" t="s">
        <v>28</v>
      </c>
      <c r="I452" s="1866" t="s">
        <v>1769</v>
      </c>
    </row>
    <row customHeight="1" ht="11.25">
      <c r="A453" s="1866" t="s">
        <v>2394</v>
      </c>
      <c r="B453" s="1866" t="s">
        <v>16</v>
      </c>
      <c r="C453" s="1866" t="s">
        <v>3206</v>
      </c>
      <c r="D453" s="1866" t="s">
        <v>3207</v>
      </c>
      <c r="E453" s="1866" t="s">
        <v>3208</v>
      </c>
      <c r="F453" s="1866" t="s">
        <v>2397</v>
      </c>
      <c r="G453" s="1866" t="s">
        <v>3209</v>
      </c>
      <c r="H453" s="1866" t="s">
        <v>28</v>
      </c>
      <c r="I453" s="1866" t="s">
        <v>1769</v>
      </c>
    </row>
    <row customHeight="1" ht="11.25">
      <c r="A454" s="1866" t="s">
        <v>2394</v>
      </c>
      <c r="B454" s="1866" t="s">
        <v>16</v>
      </c>
      <c r="C454" s="1866" t="s">
        <v>3210</v>
      </c>
      <c r="D454" s="1866" t="s">
        <v>3211</v>
      </c>
      <c r="E454" s="1866" t="s">
        <v>3212</v>
      </c>
      <c r="F454" s="1866" t="s">
        <v>2598</v>
      </c>
      <c r="G454" s="1866" t="s">
        <v>3213</v>
      </c>
      <c r="H454" s="1866" t="s">
        <v>28</v>
      </c>
      <c r="I454" s="1866" t="s">
        <v>1769</v>
      </c>
    </row>
    <row customHeight="1" ht="11.25">
      <c r="A455" s="1866" t="s">
        <v>2394</v>
      </c>
      <c r="B455" s="1866" t="s">
        <v>16</v>
      </c>
      <c r="C455" s="1866" t="s">
        <v>3214</v>
      </c>
      <c r="D455" s="1866" t="s">
        <v>3215</v>
      </c>
      <c r="E455" s="1866" t="s">
        <v>3216</v>
      </c>
      <c r="F455" s="1866" t="s">
        <v>2643</v>
      </c>
      <c r="G455" s="1866" t="s">
        <v>3217</v>
      </c>
      <c r="H455" s="1866" t="s">
        <v>28</v>
      </c>
      <c r="I455" s="1866" t="s">
        <v>1769</v>
      </c>
    </row>
    <row customHeight="1" ht="11.25">
      <c r="A456" s="1866" t="s">
        <v>2394</v>
      </c>
      <c r="B456" s="1866" t="s">
        <v>16</v>
      </c>
      <c r="C456" s="1866" t="s">
        <v>3218</v>
      </c>
      <c r="D456" s="1866" t="s">
        <v>3219</v>
      </c>
      <c r="E456" s="1866" t="s">
        <v>3220</v>
      </c>
      <c r="F456" s="1866" t="s">
        <v>2671</v>
      </c>
      <c r="G456" s="1866" t="s">
        <v>3221</v>
      </c>
      <c r="H456" s="1866" t="s">
        <v>28</v>
      </c>
      <c r="I456" s="1866" t="s">
        <v>1769</v>
      </c>
    </row>
    <row customHeight="1" ht="11.25">
      <c r="A457" s="1866" t="s">
        <v>2394</v>
      </c>
      <c r="B457" s="1866" t="s">
        <v>16</v>
      </c>
      <c r="C457" s="1866" t="s">
        <v>3222</v>
      </c>
      <c r="D457" s="1866" t="s">
        <v>3223</v>
      </c>
      <c r="E457" s="1866" t="s">
        <v>3224</v>
      </c>
      <c r="F457" s="1866" t="s">
        <v>2738</v>
      </c>
      <c r="G457" s="1866" t="s">
        <v>3225</v>
      </c>
      <c r="H457" s="1866" t="s">
        <v>28</v>
      </c>
      <c r="I457" s="1866" t="s">
        <v>1769</v>
      </c>
    </row>
    <row customHeight="1" ht="11.25">
      <c r="A458" s="1866" t="s">
        <v>2394</v>
      </c>
      <c r="B458" s="1866" t="s">
        <v>16</v>
      </c>
      <c r="C458" s="1866" t="s">
        <v>3226</v>
      </c>
      <c r="D458" s="1866" t="s">
        <v>3227</v>
      </c>
      <c r="E458" s="1866" t="s">
        <v>3228</v>
      </c>
      <c r="F458" s="1866" t="s">
        <v>2911</v>
      </c>
      <c r="G458" s="1866" t="s">
        <v>3229</v>
      </c>
      <c r="H458" s="1866" t="s">
        <v>28</v>
      </c>
      <c r="I458" s="1866" t="s">
        <v>1769</v>
      </c>
    </row>
    <row customHeight="1" ht="11.25">
      <c r="A459" s="1866" t="s">
        <v>2394</v>
      </c>
      <c r="B459" s="1866" t="s">
        <v>16</v>
      </c>
      <c r="C459" s="1866" t="s">
        <v>3009</v>
      </c>
      <c r="D459" s="1866" t="s">
        <v>3010</v>
      </c>
      <c r="E459" s="1866" t="s">
        <v>3011</v>
      </c>
      <c r="F459" s="1866" t="s">
        <v>2630</v>
      </c>
      <c r="G459" s="1866" t="s">
        <v>28</v>
      </c>
      <c r="H459" s="1866" t="s">
        <v>28</v>
      </c>
      <c r="I459" s="1866" t="s">
        <v>1769</v>
      </c>
    </row>
    <row customHeight="1" ht="11.25">
      <c r="A460" s="1866" t="s">
        <v>2394</v>
      </c>
      <c r="B460" s="1866" t="s">
        <v>16</v>
      </c>
      <c r="C460" s="1866" t="s">
        <v>3230</v>
      </c>
      <c r="D460" s="1866" t="s">
        <v>3231</v>
      </c>
      <c r="E460" s="1866" t="s">
        <v>3232</v>
      </c>
      <c r="F460" s="1866" t="s">
        <v>2820</v>
      </c>
      <c r="G460" s="1866" t="s">
        <v>3233</v>
      </c>
      <c r="H460" s="1866" t="s">
        <v>28</v>
      </c>
      <c r="I460" s="1866" t="s">
        <v>1769</v>
      </c>
    </row>
    <row customHeight="1" ht="11.25">
      <c r="A461" s="1866" t="s">
        <v>2394</v>
      </c>
      <c r="B461" s="1866" t="s">
        <v>16</v>
      </c>
      <c r="C461" s="1866" t="s">
        <v>3234</v>
      </c>
      <c r="D461" s="1866" t="s">
        <v>3235</v>
      </c>
      <c r="E461" s="1866" t="s">
        <v>3236</v>
      </c>
      <c r="F461" s="1866" t="s">
        <v>2464</v>
      </c>
      <c r="G461" s="1866" t="s">
        <v>28</v>
      </c>
      <c r="H461" s="1866" t="s">
        <v>28</v>
      </c>
      <c r="I461" s="1866" t="s">
        <v>1769</v>
      </c>
    </row>
    <row customHeight="1" ht="11.25">
      <c r="A462" s="1866" t="s">
        <v>2394</v>
      </c>
      <c r="B462" s="1866" t="s">
        <v>16</v>
      </c>
      <c r="C462" s="1866" t="s">
        <v>3237</v>
      </c>
      <c r="D462" s="1866" t="s">
        <v>3238</v>
      </c>
      <c r="E462" s="1866" t="s">
        <v>3239</v>
      </c>
      <c r="F462" s="1866" t="s">
        <v>2401</v>
      </c>
      <c r="G462" s="1866" t="s">
        <v>3240</v>
      </c>
      <c r="H462" s="1866" t="s">
        <v>28</v>
      </c>
      <c r="I462" s="1866" t="s">
        <v>1769</v>
      </c>
    </row>
    <row customHeight="1" ht="11.25">
      <c r="A463" s="1866" t="s">
        <v>2394</v>
      </c>
      <c r="B463" s="1866" t="s">
        <v>16</v>
      </c>
      <c r="C463" s="1866" t="s">
        <v>3241</v>
      </c>
      <c r="D463" s="1866" t="s">
        <v>3242</v>
      </c>
      <c r="E463" s="1866" t="s">
        <v>3243</v>
      </c>
      <c r="F463" s="1866" t="s">
        <v>2409</v>
      </c>
      <c r="G463" s="1866" t="s">
        <v>28</v>
      </c>
      <c r="H463" s="1866" t="s">
        <v>28</v>
      </c>
      <c r="I463" s="1866" t="s">
        <v>1769</v>
      </c>
    </row>
    <row customHeight="1" ht="11.25">
      <c r="A464" s="1866" t="s">
        <v>2394</v>
      </c>
      <c r="B464" s="1866" t="s">
        <v>16</v>
      </c>
      <c r="C464" s="1866" t="s">
        <v>3244</v>
      </c>
      <c r="D464" s="1866" t="s">
        <v>3245</v>
      </c>
      <c r="E464" s="1866" t="s">
        <v>3246</v>
      </c>
      <c r="F464" s="1866" t="s">
        <v>2557</v>
      </c>
      <c r="G464" s="1866" t="s">
        <v>3247</v>
      </c>
      <c r="H464" s="1866" t="s">
        <v>28</v>
      </c>
      <c r="I464" s="1866" t="s">
        <v>1769</v>
      </c>
    </row>
    <row customHeight="1" ht="11.25">
      <c r="A465" s="1866" t="s">
        <v>2394</v>
      </c>
      <c r="B465" s="1866" t="s">
        <v>16</v>
      </c>
      <c r="C465" s="1866" t="s">
        <v>3248</v>
      </c>
      <c r="D465" s="1866" t="s">
        <v>3249</v>
      </c>
      <c r="E465" s="1866" t="s">
        <v>3250</v>
      </c>
      <c r="F465" s="1866" t="s">
        <v>2660</v>
      </c>
      <c r="G465" s="1866" t="s">
        <v>28</v>
      </c>
      <c r="H465" s="1866" t="s">
        <v>28</v>
      </c>
      <c r="I465" s="1866" t="s">
        <v>1769</v>
      </c>
    </row>
    <row customHeight="1" ht="11.25">
      <c r="A466" s="1866" t="s">
        <v>2394</v>
      </c>
      <c r="B466" s="1866" t="s">
        <v>16</v>
      </c>
      <c r="C466" s="1866" t="s">
        <v>3251</v>
      </c>
      <c r="D466" s="1866" t="s">
        <v>3252</v>
      </c>
      <c r="E466" s="1866" t="s">
        <v>3253</v>
      </c>
      <c r="F466" s="1866" t="s">
        <v>2401</v>
      </c>
      <c r="G466" s="1866" t="s">
        <v>3254</v>
      </c>
      <c r="H466" s="1866" t="s">
        <v>28</v>
      </c>
      <c r="I466" s="1866" t="s">
        <v>1769</v>
      </c>
    </row>
    <row customHeight="1" ht="11.25">
      <c r="A467" s="1866" t="s">
        <v>2394</v>
      </c>
      <c r="B467" s="1866" t="s">
        <v>16</v>
      </c>
      <c r="C467" s="1866" t="s">
        <v>3255</v>
      </c>
      <c r="D467" s="1866" t="s">
        <v>3256</v>
      </c>
      <c r="E467" s="1866" t="s">
        <v>3257</v>
      </c>
      <c r="F467" s="1866" t="s">
        <v>2397</v>
      </c>
      <c r="G467" s="1866" t="s">
        <v>3258</v>
      </c>
      <c r="H467" s="1866" t="s">
        <v>28</v>
      </c>
      <c r="I467" s="1866" t="s">
        <v>1769</v>
      </c>
    </row>
    <row customHeight="1" ht="11.25">
      <c r="A468" s="1866" t="s">
        <v>2394</v>
      </c>
      <c r="B468" s="1866" t="s">
        <v>16</v>
      </c>
      <c r="C468" s="1866" t="s">
        <v>3259</v>
      </c>
      <c r="D468" s="1866" t="s">
        <v>3260</v>
      </c>
      <c r="E468" s="1866" t="s">
        <v>3261</v>
      </c>
      <c r="F468" s="1866" t="s">
        <v>2509</v>
      </c>
      <c r="G468" s="1866" t="s">
        <v>28</v>
      </c>
      <c r="H468" s="1866" t="s">
        <v>28</v>
      </c>
      <c r="I468" s="1866" t="s">
        <v>1769</v>
      </c>
    </row>
    <row customHeight="1" ht="11.25">
      <c r="A469" s="1866" t="s">
        <v>2394</v>
      </c>
      <c r="B469" s="1866" t="s">
        <v>16</v>
      </c>
      <c r="C469" s="1866" t="s">
        <v>3262</v>
      </c>
      <c r="D469" s="1866" t="s">
        <v>3263</v>
      </c>
      <c r="E469" s="1866" t="s">
        <v>3264</v>
      </c>
      <c r="F469" s="1866" t="s">
        <v>2464</v>
      </c>
      <c r="G469" s="1866" t="s">
        <v>28</v>
      </c>
      <c r="H469" s="1866" t="s">
        <v>28</v>
      </c>
      <c r="I469" s="1866" t="s">
        <v>1769</v>
      </c>
    </row>
    <row customHeight="1" ht="11.25">
      <c r="A470" s="1866" t="s">
        <v>2394</v>
      </c>
      <c r="B470" s="1866" t="s">
        <v>16</v>
      </c>
      <c r="C470" s="1866" t="s">
        <v>3265</v>
      </c>
      <c r="D470" s="1866" t="s">
        <v>3266</v>
      </c>
      <c r="E470" s="1866" t="s">
        <v>3267</v>
      </c>
      <c r="F470" s="1866" t="s">
        <v>2431</v>
      </c>
      <c r="G470" s="1866" t="s">
        <v>3268</v>
      </c>
      <c r="H470" s="1866" t="s">
        <v>28</v>
      </c>
      <c r="I470" s="1866" t="s">
        <v>1769</v>
      </c>
    </row>
    <row customHeight="1" ht="11.25">
      <c r="A471" s="1866" t="s">
        <v>2394</v>
      </c>
      <c r="B471" s="1866" t="s">
        <v>16</v>
      </c>
      <c r="C471" s="1866" t="s">
        <v>3058</v>
      </c>
      <c r="D471" s="1866" t="s">
        <v>3059</v>
      </c>
      <c r="E471" s="1866" t="s">
        <v>3060</v>
      </c>
      <c r="F471" s="1866" t="s">
        <v>2584</v>
      </c>
      <c r="G471" s="1866" t="s">
        <v>28</v>
      </c>
      <c r="H471" s="1866" t="s">
        <v>28</v>
      </c>
      <c r="I471" s="1866" t="s">
        <v>1769</v>
      </c>
    </row>
    <row customHeight="1" ht="11.25">
      <c r="A472" s="1866" t="s">
        <v>2394</v>
      </c>
      <c r="B472" s="1866" t="s">
        <v>16</v>
      </c>
      <c r="C472" s="1866" t="s">
        <v>3269</v>
      </c>
      <c r="D472" s="1866" t="s">
        <v>3270</v>
      </c>
      <c r="E472" s="1866" t="s">
        <v>3271</v>
      </c>
      <c r="F472" s="1866" t="s">
        <v>2397</v>
      </c>
      <c r="G472" s="1866" t="s">
        <v>3272</v>
      </c>
      <c r="H472" s="1866" t="s">
        <v>28</v>
      </c>
      <c r="I472" s="1866" t="s">
        <v>1769</v>
      </c>
    </row>
    <row customHeight="1" ht="11.25">
      <c r="A473" s="1866" t="s">
        <v>2394</v>
      </c>
      <c r="B473" s="1866" t="s">
        <v>16</v>
      </c>
      <c r="C473" s="1866" t="s">
        <v>3273</v>
      </c>
      <c r="D473" s="1866" t="s">
        <v>3274</v>
      </c>
      <c r="E473" s="1866" t="s">
        <v>3275</v>
      </c>
      <c r="F473" s="1866" t="s">
        <v>2605</v>
      </c>
      <c r="G473" s="1866" t="s">
        <v>3276</v>
      </c>
      <c r="H473" s="1866" t="s">
        <v>28</v>
      </c>
      <c r="I473" s="1866" t="s">
        <v>1769</v>
      </c>
    </row>
    <row customHeight="1" ht="11.25">
      <c r="A474" s="1866" t="s">
        <v>2394</v>
      </c>
      <c r="B474" s="1866" t="s">
        <v>16</v>
      </c>
      <c r="C474" s="1866" t="s">
        <v>3277</v>
      </c>
      <c r="D474" s="1866" t="s">
        <v>3278</v>
      </c>
      <c r="E474" s="1866" t="s">
        <v>3279</v>
      </c>
      <c r="F474" s="1866" t="s">
        <v>2643</v>
      </c>
      <c r="G474" s="1866" t="s">
        <v>3280</v>
      </c>
      <c r="H474" s="1866" t="s">
        <v>28</v>
      </c>
      <c r="I474" s="1866" t="s">
        <v>1769</v>
      </c>
    </row>
    <row customHeight="1" ht="11.25">
      <c r="A475" s="1866" t="s">
        <v>2394</v>
      </c>
      <c r="B475" s="1866" t="s">
        <v>16</v>
      </c>
      <c r="C475" s="1866" t="s">
        <v>3281</v>
      </c>
      <c r="D475" s="1866" t="s">
        <v>3282</v>
      </c>
      <c r="E475" s="1866" t="s">
        <v>3283</v>
      </c>
      <c r="F475" s="1866" t="s">
        <v>2671</v>
      </c>
      <c r="G475" s="1866" t="s">
        <v>3284</v>
      </c>
      <c r="H475" s="1866" t="s">
        <v>28</v>
      </c>
      <c r="I475" s="1866" t="s">
        <v>1769</v>
      </c>
    </row>
    <row customHeight="1" ht="11.25">
      <c r="A476" s="1866" t="s">
        <v>2394</v>
      </c>
      <c r="B476" s="1866" t="s">
        <v>16</v>
      </c>
      <c r="C476" s="1866" t="s">
        <v>3285</v>
      </c>
      <c r="D476" s="1866" t="s">
        <v>3286</v>
      </c>
      <c r="E476" s="1866" t="s">
        <v>3287</v>
      </c>
      <c r="F476" s="1866" t="s">
        <v>2540</v>
      </c>
      <c r="G476" s="1866" t="s">
        <v>3288</v>
      </c>
      <c r="H476" s="1866" t="s">
        <v>28</v>
      </c>
      <c r="I476" s="1866" t="s">
        <v>1769</v>
      </c>
    </row>
    <row customHeight="1" ht="11.25">
      <c r="A477" s="1866" t="s">
        <v>2394</v>
      </c>
      <c r="B477" s="1866" t="s">
        <v>16</v>
      </c>
      <c r="C477" s="1866" t="s">
        <v>3289</v>
      </c>
      <c r="D477" s="1866" t="s">
        <v>3290</v>
      </c>
      <c r="E477" s="1866" t="s">
        <v>3291</v>
      </c>
      <c r="F477" s="1866" t="s">
        <v>2598</v>
      </c>
      <c r="G477" s="1866" t="s">
        <v>3292</v>
      </c>
      <c r="H477" s="1866" t="s">
        <v>28</v>
      </c>
      <c r="I477" s="1866" t="s">
        <v>1769</v>
      </c>
    </row>
    <row customHeight="1" ht="11.25">
      <c r="A478" s="1866" t="s">
        <v>2394</v>
      </c>
      <c r="B478" s="1866" t="s">
        <v>16</v>
      </c>
      <c r="C478" s="1866" t="s">
        <v>3293</v>
      </c>
      <c r="D478" s="1866" t="s">
        <v>3294</v>
      </c>
      <c r="E478" s="1866" t="s">
        <v>3295</v>
      </c>
      <c r="F478" s="1866" t="s">
        <v>2455</v>
      </c>
      <c r="G478" s="1866" t="s">
        <v>3296</v>
      </c>
      <c r="H478" s="1866" t="s">
        <v>28</v>
      </c>
      <c r="I478" s="1866" t="s">
        <v>1769</v>
      </c>
    </row>
    <row customHeight="1" ht="11.25">
      <c r="A479" s="1866" t="s">
        <v>2394</v>
      </c>
      <c r="B479" s="1866" t="s">
        <v>16</v>
      </c>
      <c r="C479" s="1866" t="s">
        <v>3297</v>
      </c>
      <c r="D479" s="1866" t="s">
        <v>3298</v>
      </c>
      <c r="E479" s="1866" t="s">
        <v>3299</v>
      </c>
      <c r="F479" s="1866" t="s">
        <v>2671</v>
      </c>
      <c r="G479" s="1866" t="s">
        <v>28</v>
      </c>
      <c r="H479" s="1866" t="s">
        <v>28</v>
      </c>
      <c r="I479" s="1866" t="s">
        <v>1769</v>
      </c>
    </row>
    <row customHeight="1" ht="11.25">
      <c r="A480" s="1866" t="s">
        <v>2394</v>
      </c>
      <c r="B480" s="1866" t="s">
        <v>16</v>
      </c>
      <c r="C480" s="1866" t="s">
        <v>3300</v>
      </c>
      <c r="D480" s="1866" t="s">
        <v>3301</v>
      </c>
      <c r="E480" s="1866" t="s">
        <v>3302</v>
      </c>
      <c r="F480" s="1866" t="s">
        <v>2598</v>
      </c>
      <c r="G480" s="1866" t="s">
        <v>3303</v>
      </c>
      <c r="H480" s="1866" t="s">
        <v>28</v>
      </c>
      <c r="I480" s="1866" t="s">
        <v>1769</v>
      </c>
    </row>
    <row customHeight="1" ht="11.25">
      <c r="A481" s="1866" t="s">
        <v>2394</v>
      </c>
      <c r="B481" s="1866" t="s">
        <v>16</v>
      </c>
      <c r="C481" s="1866" t="s">
        <v>3304</v>
      </c>
      <c r="D481" s="1866" t="s">
        <v>3305</v>
      </c>
      <c r="E481" s="1866" t="s">
        <v>3306</v>
      </c>
      <c r="F481" s="1866" t="s">
        <v>2443</v>
      </c>
      <c r="G481" s="1866" t="s">
        <v>3307</v>
      </c>
      <c r="H481" s="1866" t="s">
        <v>28</v>
      </c>
      <c r="I481" s="1866" t="s">
        <v>1769</v>
      </c>
    </row>
    <row customHeight="1" ht="11.25">
      <c r="A482" s="1866" t="s">
        <v>2394</v>
      </c>
      <c r="B482" s="1866" t="s">
        <v>16</v>
      </c>
      <c r="C482" s="1866" t="s">
        <v>3308</v>
      </c>
      <c r="D482" s="1866" t="s">
        <v>3309</v>
      </c>
      <c r="E482" s="1866" t="s">
        <v>3310</v>
      </c>
      <c r="F482" s="1866" t="s">
        <v>2401</v>
      </c>
      <c r="G482" s="1866" t="s">
        <v>3311</v>
      </c>
      <c r="H482" s="1866" t="s">
        <v>28</v>
      </c>
      <c r="I482" s="1866" t="s">
        <v>1769</v>
      </c>
    </row>
    <row customHeight="1" ht="11.25">
      <c r="A483" s="1866" t="s">
        <v>2394</v>
      </c>
      <c r="B483" s="1866" t="s">
        <v>16</v>
      </c>
      <c r="C483" s="1866" t="s">
        <v>3312</v>
      </c>
      <c r="D483" s="1866" t="s">
        <v>3313</v>
      </c>
      <c r="E483" s="1866" t="s">
        <v>3314</v>
      </c>
      <c r="F483" s="1866" t="s">
        <v>2401</v>
      </c>
      <c r="G483" s="1866" t="s">
        <v>3315</v>
      </c>
      <c r="H483" s="1866" t="s">
        <v>28</v>
      </c>
      <c r="I483" s="1866" t="s">
        <v>1769</v>
      </c>
    </row>
    <row customHeight="1" ht="11.25">
      <c r="A484" s="1866" t="s">
        <v>2394</v>
      </c>
      <c r="B484" s="1866" t="s">
        <v>16</v>
      </c>
      <c r="C484" s="1866" t="s">
        <v>3316</v>
      </c>
      <c r="D484" s="1866" t="s">
        <v>3317</v>
      </c>
      <c r="E484" s="1866" t="s">
        <v>3318</v>
      </c>
      <c r="F484" s="1866" t="s">
        <v>2532</v>
      </c>
      <c r="G484" s="1866" t="s">
        <v>3319</v>
      </c>
      <c r="H484" s="1866" t="s">
        <v>28</v>
      </c>
      <c r="I484" s="1866" t="s">
        <v>1769</v>
      </c>
    </row>
    <row customHeight="1" ht="11.25">
      <c r="A485" s="1866" t="s">
        <v>2394</v>
      </c>
      <c r="B485" s="1866" t="s">
        <v>16</v>
      </c>
      <c r="C485" s="1866" t="s">
        <v>3320</v>
      </c>
      <c r="D485" s="1866" t="s">
        <v>3321</v>
      </c>
      <c r="E485" s="1866" t="s">
        <v>3322</v>
      </c>
      <c r="F485" s="1866" t="s">
        <v>3107</v>
      </c>
      <c r="G485" s="1866" t="s">
        <v>3323</v>
      </c>
      <c r="H485" s="1866" t="s">
        <v>28</v>
      </c>
      <c r="I485" s="1866" t="s">
        <v>1769</v>
      </c>
    </row>
    <row customHeight="1" ht="11.25">
      <c r="A486" s="1866" t="s">
        <v>2394</v>
      </c>
      <c r="B486" s="1866" t="s">
        <v>16</v>
      </c>
      <c r="C486" s="1866" t="s">
        <v>3324</v>
      </c>
      <c r="D486" s="1866" t="s">
        <v>3325</v>
      </c>
      <c r="E486" s="1866" t="s">
        <v>3326</v>
      </c>
      <c r="F486" s="1866" t="s">
        <v>2464</v>
      </c>
      <c r="G486" s="1866" t="s">
        <v>28</v>
      </c>
      <c r="H486" s="1866" t="s">
        <v>28</v>
      </c>
      <c r="I486" s="1866" t="s">
        <v>1769</v>
      </c>
    </row>
    <row customHeight="1" ht="11.25">
      <c r="A487" s="1866" t="s">
        <v>2394</v>
      </c>
      <c r="B487" s="1866" t="s">
        <v>16</v>
      </c>
      <c r="C487" s="1866" t="s">
        <v>3327</v>
      </c>
      <c r="D487" s="1866" t="s">
        <v>3328</v>
      </c>
      <c r="E487" s="1866" t="s">
        <v>3329</v>
      </c>
      <c r="F487" s="1866" t="s">
        <v>2574</v>
      </c>
      <c r="G487" s="1866" t="s">
        <v>28</v>
      </c>
      <c r="H487" s="1866" t="s">
        <v>28</v>
      </c>
      <c r="I487" s="1866" t="s">
        <v>1769</v>
      </c>
    </row>
    <row customHeight="1" ht="11.25">
      <c r="A488" s="1866" t="s">
        <v>2394</v>
      </c>
      <c r="B488" s="1866" t="s">
        <v>16</v>
      </c>
      <c r="C488" s="1866" t="s">
        <v>3330</v>
      </c>
      <c r="D488" s="1866" t="s">
        <v>3331</v>
      </c>
      <c r="E488" s="1866" t="s">
        <v>3332</v>
      </c>
      <c r="F488" s="1866" t="s">
        <v>2401</v>
      </c>
      <c r="G488" s="1866" t="s">
        <v>28</v>
      </c>
      <c r="H488" s="1866" t="s">
        <v>28</v>
      </c>
      <c r="I488" s="1866" t="s">
        <v>1769</v>
      </c>
    </row>
    <row customHeight="1" ht="11.25">
      <c r="A489" s="1866" t="s">
        <v>2394</v>
      </c>
      <c r="B489" s="1866" t="s">
        <v>16</v>
      </c>
      <c r="C489" s="1866" t="s">
        <v>3333</v>
      </c>
      <c r="D489" s="1866" t="s">
        <v>3334</v>
      </c>
      <c r="E489" s="1866" t="s">
        <v>3335</v>
      </c>
      <c r="F489" s="1866" t="s">
        <v>2794</v>
      </c>
      <c r="G489" s="1866" t="s">
        <v>28</v>
      </c>
      <c r="H489" s="1866" t="s">
        <v>28</v>
      </c>
      <c r="I489" s="1866" t="s">
        <v>1769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66C4D-0582-7981-5979-379FE546D572}" mc:Ignorable="x14ac xr xr2 xr3">
  <sheetPr>
    <tabColor rgb="FFFFCC99"/>
  </sheetPr>
  <dimension ref="A1:G108"/>
  <sheetViews>
    <sheetView topLeftCell="A1" showGridLines="0" workbookViewId="0">
      <selection activeCell="A1" sqref="A1"/>
    </sheetView>
  </sheetViews>
  <sheetFormatPr customHeight="1" defaultRowHeight="11.25"/>
  <cols>
    <col min="1" max="1" style="1866" width="9.140625"/>
  </cols>
  <sheetData>
    <row customHeight="1" ht="11.25">
      <c r="A1" s="389" t="s">
        <v>3336</v>
      </c>
      <c r="B1" s="80" t="s">
        <v>3337</v>
      </c>
      <c r="C1" s="80" t="s">
        <v>3338</v>
      </c>
      <c r="D1" s="80" t="s">
        <v>3339</v>
      </c>
      <c r="E1" s="78" t="s">
        <v>3340</v>
      </c>
      <c r="F1" s="78" t="s">
        <v>3341</v>
      </c>
      <c r="G1" s="78" t="s">
        <v>3342</v>
      </c>
    </row>
    <row customHeight="1" ht="11.25">
      <c r="A2" s="389" t="s">
        <v>16</v>
      </c>
      <c r="B2" s="0" t="s">
        <v>142</v>
      </c>
      <c r="C2" s="0" t="s">
        <v>143</v>
      </c>
      <c r="D2" s="0" t="s">
        <v>142</v>
      </c>
      <c r="E2" s="0" t="s">
        <v>143</v>
      </c>
      <c r="F2" s="0" t="s">
        <v>3343</v>
      </c>
      <c r="G2" s="0" t="s">
        <v>141</v>
      </c>
    </row>
    <row customHeight="1" ht="11.25">
      <c r="A3" s="389" t="s">
        <v>16</v>
      </c>
      <c r="B3" s="0" t="s">
        <v>160</v>
      </c>
      <c r="C3" s="0" t="s">
        <v>161</v>
      </c>
      <c r="D3" s="0" t="s">
        <v>160</v>
      </c>
      <c r="E3" s="0" t="s">
        <v>161</v>
      </c>
      <c r="F3" s="0" t="s">
        <v>3344</v>
      </c>
      <c r="G3" s="0" t="s">
        <v>107</v>
      </c>
    </row>
    <row customHeight="1" ht="11.25">
      <c r="A4" s="389" t="s">
        <v>16</v>
      </c>
      <c r="B4" s="0" t="s">
        <v>3345</v>
      </c>
      <c r="C4" s="0" t="s">
        <v>3346</v>
      </c>
      <c r="D4" s="0" t="s">
        <v>3345</v>
      </c>
      <c r="E4" s="0" t="s">
        <v>3346</v>
      </c>
      <c r="F4" s="0" t="s">
        <v>3344</v>
      </c>
      <c r="G4" s="0" t="s">
        <v>93</v>
      </c>
    </row>
    <row customHeight="1" ht="11.25">
      <c r="A5" s="389" t="s">
        <v>16</v>
      </c>
      <c r="B5" s="0" t="s">
        <v>3347</v>
      </c>
      <c r="C5" s="0" t="s">
        <v>3348</v>
      </c>
      <c r="D5" s="0" t="s">
        <v>3347</v>
      </c>
      <c r="E5" s="0" t="s">
        <v>3348</v>
      </c>
      <c r="F5" s="0" t="s">
        <v>3344</v>
      </c>
      <c r="G5" s="0" t="s">
        <v>94</v>
      </c>
    </row>
    <row customHeight="1" ht="11.25">
      <c r="A6" s="389" t="s">
        <v>16</v>
      </c>
      <c r="B6" s="0" t="s">
        <v>3349</v>
      </c>
      <c r="C6" s="0" t="s">
        <v>3350</v>
      </c>
      <c r="D6" s="0" t="s">
        <v>3349</v>
      </c>
      <c r="E6" s="0" t="s">
        <v>3350</v>
      </c>
      <c r="F6" s="0" t="s">
        <v>3344</v>
      </c>
      <c r="G6" s="0" t="s">
        <v>122</v>
      </c>
    </row>
    <row customHeight="1" ht="11.25">
      <c r="A7" s="389" t="s">
        <v>16</v>
      </c>
      <c r="B7" s="0" t="s">
        <v>3351</v>
      </c>
      <c r="C7" s="0" t="s">
        <v>3352</v>
      </c>
      <c r="D7" s="0" t="s">
        <v>3351</v>
      </c>
      <c r="E7" s="0" t="s">
        <v>3352</v>
      </c>
      <c r="F7" s="0" t="s">
        <v>3344</v>
      </c>
      <c r="G7" s="0" t="s">
        <v>95</v>
      </c>
    </row>
    <row customHeight="1" ht="11.25">
      <c r="A8" s="389" t="s">
        <v>16</v>
      </c>
      <c r="B8" s="0" t="s">
        <v>3353</v>
      </c>
      <c r="C8" s="0" t="s">
        <v>3354</v>
      </c>
      <c r="D8" s="0" t="s">
        <v>3353</v>
      </c>
      <c r="E8" s="0" t="s">
        <v>3354</v>
      </c>
      <c r="F8" s="0" t="s">
        <v>3344</v>
      </c>
      <c r="G8" s="0" t="s">
        <v>96</v>
      </c>
    </row>
    <row customHeight="1" ht="11.25">
      <c r="A9" s="389" t="s">
        <v>16</v>
      </c>
      <c r="B9" s="0" t="s">
        <v>3355</v>
      </c>
      <c r="C9" s="0" t="s">
        <v>3356</v>
      </c>
      <c r="D9" s="0" t="s">
        <v>3357</v>
      </c>
      <c r="E9" s="0" t="s">
        <v>3358</v>
      </c>
      <c r="F9" s="0" t="s">
        <v>3359</v>
      </c>
      <c r="G9" s="0" t="s">
        <v>134</v>
      </c>
    </row>
    <row customHeight="1" ht="11.25">
      <c r="A10" s="389" t="s">
        <v>16</v>
      </c>
      <c r="B10" s="0" t="s">
        <v>3355</v>
      </c>
      <c r="C10" s="0" t="s">
        <v>3356</v>
      </c>
      <c r="D10" s="0" t="s">
        <v>3355</v>
      </c>
      <c r="E10" s="0" t="s">
        <v>3356</v>
      </c>
      <c r="F10" s="0" t="s">
        <v>3360</v>
      </c>
      <c r="G10" s="0" t="s">
        <v>139</v>
      </c>
    </row>
    <row customHeight="1" ht="11.25">
      <c r="A11" s="389" t="s">
        <v>16</v>
      </c>
      <c r="B11" s="0" t="s">
        <v>3355</v>
      </c>
      <c r="C11" s="0" t="s">
        <v>3356</v>
      </c>
      <c r="D11" s="0" t="s">
        <v>3361</v>
      </c>
      <c r="E11" s="0" t="s">
        <v>3362</v>
      </c>
      <c r="F11" s="0" t="s">
        <v>3359</v>
      </c>
      <c r="G11" s="0" t="s">
        <v>144</v>
      </c>
    </row>
    <row customHeight="1" ht="11.25">
      <c r="A12" s="389" t="s">
        <v>16</v>
      </c>
      <c r="B12" s="0" t="s">
        <v>3355</v>
      </c>
      <c r="C12" s="0" t="s">
        <v>3356</v>
      </c>
      <c r="D12" s="0" t="s">
        <v>3363</v>
      </c>
      <c r="E12" s="0" t="s">
        <v>3364</v>
      </c>
      <c r="F12" s="0" t="s">
        <v>3365</v>
      </c>
      <c r="G12" s="0" t="s">
        <v>150</v>
      </c>
    </row>
    <row customHeight="1" ht="11.25">
      <c r="A13" s="389" t="s">
        <v>16</v>
      </c>
      <c r="B13" s="0" t="s">
        <v>3355</v>
      </c>
      <c r="C13" s="0" t="s">
        <v>3356</v>
      </c>
      <c r="D13" s="0" t="s">
        <v>3366</v>
      </c>
      <c r="E13" s="0" t="s">
        <v>3367</v>
      </c>
      <c r="F13" s="0" t="s">
        <v>3359</v>
      </c>
      <c r="G13" s="0" t="s">
        <v>152</v>
      </c>
    </row>
    <row customHeight="1" ht="11.25">
      <c r="A14" s="389" t="s">
        <v>16</v>
      </c>
      <c r="B14" s="0" t="s">
        <v>3355</v>
      </c>
      <c r="C14" s="0" t="s">
        <v>3356</v>
      </c>
      <c r="D14" s="0" t="s">
        <v>3368</v>
      </c>
      <c r="E14" s="0" t="s">
        <v>3369</v>
      </c>
      <c r="F14" s="0" t="s">
        <v>3359</v>
      </c>
      <c r="G14" s="0" t="s">
        <v>158</v>
      </c>
    </row>
    <row customHeight="1" ht="11.25">
      <c r="A15" s="389" t="s">
        <v>16</v>
      </c>
      <c r="B15" s="0" t="s">
        <v>3355</v>
      </c>
      <c r="C15" s="0" t="s">
        <v>3356</v>
      </c>
      <c r="D15" s="0" t="s">
        <v>3370</v>
      </c>
      <c r="E15" s="0" t="s">
        <v>3371</v>
      </c>
      <c r="F15" s="0" t="s">
        <v>3359</v>
      </c>
      <c r="G15" s="0" t="s">
        <v>162</v>
      </c>
    </row>
    <row customHeight="1" ht="11.25">
      <c r="A16" s="389" t="s">
        <v>16</v>
      </c>
      <c r="B16" s="0" t="s">
        <v>3355</v>
      </c>
      <c r="C16" s="0" t="s">
        <v>3356</v>
      </c>
      <c r="D16" s="0" t="s">
        <v>3372</v>
      </c>
      <c r="E16" s="0" t="s">
        <v>3373</v>
      </c>
      <c r="F16" s="0" t="s">
        <v>3359</v>
      </c>
      <c r="G16" s="0" t="s">
        <v>167</v>
      </c>
    </row>
    <row customHeight="1" ht="11.25">
      <c r="A17" s="389" t="s">
        <v>16</v>
      </c>
      <c r="B17" s="0" t="s">
        <v>115</v>
      </c>
      <c r="C17" s="0" t="s">
        <v>116</v>
      </c>
      <c r="D17" s="0" t="s">
        <v>115</v>
      </c>
      <c r="E17" s="0" t="s">
        <v>116</v>
      </c>
      <c r="F17" s="0" t="s">
        <v>3343</v>
      </c>
      <c r="G17" s="0" t="s">
        <v>114</v>
      </c>
    </row>
    <row customHeight="1" ht="11.25">
      <c r="A18" s="389" t="s">
        <v>16</v>
      </c>
      <c r="B18" s="0" t="s">
        <v>103</v>
      </c>
      <c r="C18" s="0" t="s">
        <v>133</v>
      </c>
      <c r="D18" s="0" t="s">
        <v>3374</v>
      </c>
      <c r="E18" s="0" t="s">
        <v>3375</v>
      </c>
      <c r="F18" s="0" t="s">
        <v>3359</v>
      </c>
      <c r="G18" s="0" t="s">
        <v>1635</v>
      </c>
    </row>
    <row customHeight="1" ht="11.25">
      <c r="A19" s="389" t="s">
        <v>16</v>
      </c>
      <c r="B19" s="0" t="s">
        <v>103</v>
      </c>
      <c r="C19" s="0" t="s">
        <v>133</v>
      </c>
      <c r="D19" s="0" t="s">
        <v>104</v>
      </c>
      <c r="E19" s="0" t="s">
        <v>105</v>
      </c>
      <c r="F19" s="0" t="s">
        <v>3376</v>
      </c>
      <c r="G19" s="0" t="s">
        <v>102</v>
      </c>
    </row>
    <row customHeight="1" ht="11.25">
      <c r="A20" s="389" t="s">
        <v>16</v>
      </c>
      <c r="B20" s="0" t="s">
        <v>103</v>
      </c>
      <c r="C20" s="0" t="s">
        <v>133</v>
      </c>
      <c r="D20" s="0" t="s">
        <v>103</v>
      </c>
      <c r="E20" s="0" t="s">
        <v>133</v>
      </c>
      <c r="F20" s="0" t="s">
        <v>3360</v>
      </c>
      <c r="G20" s="0" t="s">
        <v>132</v>
      </c>
    </row>
    <row customHeight="1" ht="11.25">
      <c r="A21" s="389" t="s">
        <v>16</v>
      </c>
      <c r="B21" s="0" t="s">
        <v>103</v>
      </c>
      <c r="C21" s="0" t="s">
        <v>133</v>
      </c>
      <c r="D21" s="0" t="s">
        <v>3377</v>
      </c>
      <c r="E21" s="0" t="s">
        <v>3378</v>
      </c>
      <c r="F21" s="0" t="s">
        <v>3376</v>
      </c>
      <c r="G21" s="0" t="s">
        <v>1668</v>
      </c>
    </row>
    <row customHeight="1" ht="11.25">
      <c r="A22" s="389" t="s">
        <v>16</v>
      </c>
      <c r="B22" s="0" t="s">
        <v>103</v>
      </c>
      <c r="C22" s="0" t="s">
        <v>133</v>
      </c>
      <c r="D22" s="0" t="s">
        <v>3379</v>
      </c>
      <c r="E22" s="0" t="s">
        <v>3380</v>
      </c>
      <c r="F22" s="0" t="s">
        <v>3359</v>
      </c>
      <c r="G22" s="0" t="s">
        <v>1684</v>
      </c>
    </row>
    <row customHeight="1" ht="11.25">
      <c r="A23" s="389" t="s">
        <v>16</v>
      </c>
      <c r="B23" s="0" t="s">
        <v>103</v>
      </c>
      <c r="C23" s="0" t="s">
        <v>133</v>
      </c>
      <c r="D23" s="0" t="s">
        <v>3381</v>
      </c>
      <c r="E23" s="0" t="s">
        <v>3382</v>
      </c>
      <c r="F23" s="0" t="s">
        <v>3365</v>
      </c>
      <c r="G23" s="0" t="s">
        <v>1691</v>
      </c>
    </row>
    <row customHeight="1" ht="11.25">
      <c r="A24" s="389" t="s">
        <v>16</v>
      </c>
      <c r="B24" s="0" t="s">
        <v>103</v>
      </c>
      <c r="C24" s="0" t="s">
        <v>133</v>
      </c>
      <c r="D24" s="0" t="s">
        <v>3383</v>
      </c>
      <c r="E24" s="0" t="s">
        <v>3384</v>
      </c>
      <c r="F24" s="0" t="s">
        <v>3359</v>
      </c>
      <c r="G24" s="0" t="s">
        <v>1699</v>
      </c>
    </row>
    <row customHeight="1" ht="11.25">
      <c r="A25" s="389" t="s">
        <v>16</v>
      </c>
      <c r="B25" s="0" t="s">
        <v>103</v>
      </c>
      <c r="C25" s="0" t="s">
        <v>133</v>
      </c>
      <c r="D25" s="0" t="s">
        <v>3385</v>
      </c>
      <c r="E25" s="0" t="s">
        <v>3386</v>
      </c>
      <c r="F25" s="0" t="s">
        <v>3359</v>
      </c>
      <c r="G25" s="0" t="s">
        <v>1706</v>
      </c>
    </row>
    <row customHeight="1" ht="11.25">
      <c r="A26" s="389" t="s">
        <v>16</v>
      </c>
      <c r="B26" s="0" t="s">
        <v>174</v>
      </c>
      <c r="C26" s="0" t="s">
        <v>175</v>
      </c>
      <c r="D26" s="0" t="s">
        <v>174</v>
      </c>
      <c r="E26" s="0" t="s">
        <v>175</v>
      </c>
      <c r="F26" s="0" t="s">
        <v>3343</v>
      </c>
      <c r="G26" s="0" t="s">
        <v>173</v>
      </c>
    </row>
    <row customHeight="1" ht="11.25">
      <c r="A27" s="389" t="s">
        <v>16</v>
      </c>
      <c r="B27" s="0" t="s">
        <v>119</v>
      </c>
      <c r="C27" s="0" t="s">
        <v>3387</v>
      </c>
      <c r="D27" s="0" t="s">
        <v>3388</v>
      </c>
      <c r="E27" s="0" t="s">
        <v>3389</v>
      </c>
      <c r="F27" s="0" t="s">
        <v>3376</v>
      </c>
      <c r="G27" s="0" t="s">
        <v>1714</v>
      </c>
    </row>
    <row customHeight="1" ht="11.25">
      <c r="A28" s="389" t="s">
        <v>16</v>
      </c>
      <c r="B28" s="0" t="s">
        <v>119</v>
      </c>
      <c r="C28" s="0" t="s">
        <v>3387</v>
      </c>
      <c r="D28" s="0" t="s">
        <v>3390</v>
      </c>
      <c r="E28" s="0" t="s">
        <v>3391</v>
      </c>
      <c r="F28" s="0" t="s">
        <v>3359</v>
      </c>
      <c r="G28" s="0" t="s">
        <v>1722</v>
      </c>
    </row>
    <row customHeight="1" ht="11.25">
      <c r="A29" s="389" t="s">
        <v>16</v>
      </c>
      <c r="B29" s="0" t="s">
        <v>119</v>
      </c>
      <c r="C29" s="0" t="s">
        <v>3387</v>
      </c>
      <c r="D29" s="0" t="s">
        <v>3392</v>
      </c>
      <c r="E29" s="0" t="s">
        <v>3393</v>
      </c>
      <c r="F29" s="0" t="s">
        <v>3359</v>
      </c>
      <c r="G29" s="0" t="s">
        <v>1724</v>
      </c>
    </row>
    <row customHeight="1" ht="11.25">
      <c r="A30" s="389" t="s">
        <v>16</v>
      </c>
      <c r="B30" s="0" t="s">
        <v>119</v>
      </c>
      <c r="C30" s="0" t="s">
        <v>3387</v>
      </c>
      <c r="D30" s="0" t="s">
        <v>3394</v>
      </c>
      <c r="E30" s="0" t="s">
        <v>3395</v>
      </c>
      <c r="F30" s="0" t="s">
        <v>3359</v>
      </c>
      <c r="G30" s="0" t="s">
        <v>1727</v>
      </c>
    </row>
    <row customHeight="1" ht="11.25">
      <c r="A31" s="389" t="s">
        <v>16</v>
      </c>
      <c r="B31" s="0" t="s">
        <v>119</v>
      </c>
      <c r="C31" s="0" t="s">
        <v>3387</v>
      </c>
      <c r="D31" s="0" t="s">
        <v>3396</v>
      </c>
      <c r="E31" s="0" t="s">
        <v>3397</v>
      </c>
      <c r="F31" s="0" t="s">
        <v>3359</v>
      </c>
      <c r="G31" s="0" t="s">
        <v>1733</v>
      </c>
    </row>
    <row customHeight="1" ht="11.25">
      <c r="A32" s="389" t="s">
        <v>16</v>
      </c>
      <c r="B32" s="0" t="s">
        <v>119</v>
      </c>
      <c r="C32" s="0" t="s">
        <v>3387</v>
      </c>
      <c r="D32" s="0" t="s">
        <v>119</v>
      </c>
      <c r="E32" s="0" t="s">
        <v>3387</v>
      </c>
      <c r="F32" s="0" t="s">
        <v>3360</v>
      </c>
      <c r="G32" s="0" t="s">
        <v>1735</v>
      </c>
    </row>
    <row customHeight="1" ht="11.25">
      <c r="A33" s="389" t="s">
        <v>16</v>
      </c>
      <c r="B33" s="0" t="s">
        <v>119</v>
      </c>
      <c r="C33" s="0" t="s">
        <v>3387</v>
      </c>
      <c r="D33" s="0" t="s">
        <v>3398</v>
      </c>
      <c r="E33" s="0" t="s">
        <v>3399</v>
      </c>
      <c r="F33" s="0" t="s">
        <v>3359</v>
      </c>
      <c r="G33" s="0" t="s">
        <v>1737</v>
      </c>
    </row>
    <row customHeight="1" ht="11.25">
      <c r="A34" s="389" t="s">
        <v>16</v>
      </c>
      <c r="B34" s="0" t="s">
        <v>119</v>
      </c>
      <c r="C34" s="0" t="s">
        <v>3387</v>
      </c>
      <c r="D34" s="0" t="s">
        <v>3400</v>
      </c>
      <c r="E34" s="0" t="s">
        <v>3401</v>
      </c>
      <c r="F34" s="0" t="s">
        <v>3359</v>
      </c>
      <c r="G34" s="0" t="s">
        <v>1739</v>
      </c>
    </row>
    <row customHeight="1" ht="11.25">
      <c r="A35" s="389" t="s">
        <v>16</v>
      </c>
      <c r="B35" s="0" t="s">
        <v>119</v>
      </c>
      <c r="C35" s="0" t="s">
        <v>3387</v>
      </c>
      <c r="D35" s="0" t="s">
        <v>3402</v>
      </c>
      <c r="E35" s="0" t="s">
        <v>3403</v>
      </c>
      <c r="F35" s="0" t="s">
        <v>3359</v>
      </c>
      <c r="G35" s="0" t="s">
        <v>1744</v>
      </c>
    </row>
    <row customHeight="1" ht="11.25">
      <c r="A36" s="389" t="s">
        <v>16</v>
      </c>
      <c r="B36" s="0" t="s">
        <v>119</v>
      </c>
      <c r="C36" s="0" t="s">
        <v>3387</v>
      </c>
      <c r="D36" s="0" t="s">
        <v>120</v>
      </c>
      <c r="E36" s="0" t="s">
        <v>121</v>
      </c>
      <c r="F36" s="0" t="s">
        <v>3359</v>
      </c>
      <c r="G36" s="0" t="s">
        <v>118</v>
      </c>
    </row>
    <row customHeight="1" ht="11.25">
      <c r="A37" s="389" t="s">
        <v>16</v>
      </c>
      <c r="B37" s="0" t="s">
        <v>119</v>
      </c>
      <c r="C37" s="0" t="s">
        <v>3387</v>
      </c>
      <c r="D37" s="0" t="s">
        <v>3404</v>
      </c>
      <c r="E37" s="0" t="s">
        <v>3405</v>
      </c>
      <c r="F37" s="0" t="s">
        <v>3359</v>
      </c>
      <c r="G37" s="0" t="s">
        <v>1752</v>
      </c>
    </row>
    <row customHeight="1" ht="11.25">
      <c r="A38" s="389" t="s">
        <v>16</v>
      </c>
      <c r="B38" s="0" t="s">
        <v>3406</v>
      </c>
      <c r="C38" s="0" t="s">
        <v>3407</v>
      </c>
      <c r="D38" s="0" t="s">
        <v>3406</v>
      </c>
      <c r="E38" s="0" t="s">
        <v>3407</v>
      </c>
      <c r="F38" s="0" t="s">
        <v>3343</v>
      </c>
      <c r="G38" s="0" t="s">
        <v>1760</v>
      </c>
    </row>
    <row customHeight="1" ht="11.25">
      <c r="A39" s="389" t="s">
        <v>16</v>
      </c>
      <c r="B39" s="0" t="s">
        <v>137</v>
      </c>
      <c r="C39" s="0" t="s">
        <v>138</v>
      </c>
      <c r="D39" s="0" t="s">
        <v>137</v>
      </c>
      <c r="E39" s="0" t="s">
        <v>138</v>
      </c>
      <c r="F39" s="0" t="s">
        <v>3344</v>
      </c>
      <c r="G39" s="0" t="s">
        <v>136</v>
      </c>
    </row>
    <row customHeight="1" ht="11.25">
      <c r="A40" s="389" t="s">
        <v>16</v>
      </c>
      <c r="B40" s="0" t="s">
        <v>3408</v>
      </c>
      <c r="C40" s="0" t="s">
        <v>3409</v>
      </c>
      <c r="D40" s="0" t="s">
        <v>3408</v>
      </c>
      <c r="E40" s="0" t="s">
        <v>3409</v>
      </c>
      <c r="F40" s="0" t="s">
        <v>3343</v>
      </c>
      <c r="G40" s="0" t="s">
        <v>1770</v>
      </c>
    </row>
    <row customHeight="1" ht="11.25">
      <c r="A41" s="389" t="s">
        <v>16</v>
      </c>
      <c r="B41" s="0" t="s">
        <v>147</v>
      </c>
      <c r="C41" s="0" t="s">
        <v>3410</v>
      </c>
      <c r="D41" s="0" t="s">
        <v>3411</v>
      </c>
      <c r="E41" s="0" t="s">
        <v>3412</v>
      </c>
      <c r="F41" s="0" t="s">
        <v>3359</v>
      </c>
      <c r="G41" s="0" t="s">
        <v>1774</v>
      </c>
    </row>
    <row customHeight="1" ht="11.25">
      <c r="A42" s="389" t="s">
        <v>16</v>
      </c>
      <c r="B42" s="0" t="s">
        <v>147</v>
      </c>
      <c r="C42" s="0" t="s">
        <v>3410</v>
      </c>
      <c r="D42" s="0" t="s">
        <v>148</v>
      </c>
      <c r="E42" s="0" t="s">
        <v>149</v>
      </c>
      <c r="F42" s="0" t="s">
        <v>3359</v>
      </c>
      <c r="G42" s="0" t="s">
        <v>146</v>
      </c>
    </row>
    <row customHeight="1" ht="11.25">
      <c r="A43" s="389" t="s">
        <v>16</v>
      </c>
      <c r="B43" s="0" t="s">
        <v>147</v>
      </c>
      <c r="C43" s="0" t="s">
        <v>3410</v>
      </c>
      <c r="D43" s="0" t="s">
        <v>3413</v>
      </c>
      <c r="E43" s="0" t="s">
        <v>3414</v>
      </c>
      <c r="F43" s="0" t="s">
        <v>3359</v>
      </c>
      <c r="G43" s="0" t="s">
        <v>1783</v>
      </c>
    </row>
    <row customHeight="1" ht="11.25">
      <c r="A44" s="389" t="s">
        <v>16</v>
      </c>
      <c r="B44" s="0" t="s">
        <v>147</v>
      </c>
      <c r="C44" s="0" t="s">
        <v>3410</v>
      </c>
      <c r="D44" s="0" t="s">
        <v>147</v>
      </c>
      <c r="E44" s="0" t="s">
        <v>3410</v>
      </c>
      <c r="F44" s="0" t="s">
        <v>3360</v>
      </c>
      <c r="G44" s="0" t="s">
        <v>1792</v>
      </c>
    </row>
    <row customHeight="1" ht="11.25">
      <c r="A45" s="389" t="s">
        <v>16</v>
      </c>
      <c r="B45" s="0" t="s">
        <v>147</v>
      </c>
      <c r="C45" s="0" t="s">
        <v>3410</v>
      </c>
      <c r="D45" s="0" t="s">
        <v>3415</v>
      </c>
      <c r="E45" s="0" t="s">
        <v>3416</v>
      </c>
      <c r="F45" s="0" t="s">
        <v>3359</v>
      </c>
      <c r="G45" s="0" t="s">
        <v>1797</v>
      </c>
    </row>
    <row customHeight="1" ht="11.25">
      <c r="A46" s="389" t="s">
        <v>16</v>
      </c>
      <c r="B46" s="0" t="s">
        <v>147</v>
      </c>
      <c r="C46" s="0" t="s">
        <v>3410</v>
      </c>
      <c r="D46" s="0" t="s">
        <v>3417</v>
      </c>
      <c r="E46" s="0" t="s">
        <v>3418</v>
      </c>
      <c r="F46" s="0" t="s">
        <v>3376</v>
      </c>
      <c r="G46" s="0" t="s">
        <v>1801</v>
      </c>
    </row>
    <row customHeight="1" ht="11.25">
      <c r="A47" s="389" t="s">
        <v>16</v>
      </c>
      <c r="B47" s="0" t="s">
        <v>147</v>
      </c>
      <c r="C47" s="0" t="s">
        <v>3410</v>
      </c>
      <c r="D47" s="0" t="s">
        <v>3419</v>
      </c>
      <c r="E47" s="0" t="s">
        <v>3420</v>
      </c>
      <c r="F47" s="0" t="s">
        <v>3359</v>
      </c>
      <c r="G47" s="0" t="s">
        <v>1807</v>
      </c>
    </row>
    <row customHeight="1" ht="11.25">
      <c r="A48" s="389" t="s">
        <v>16</v>
      </c>
      <c r="B48" s="0" t="s">
        <v>147</v>
      </c>
      <c r="C48" s="0" t="s">
        <v>3410</v>
      </c>
      <c r="D48" s="0" t="s">
        <v>3421</v>
      </c>
      <c r="E48" s="0" t="s">
        <v>3422</v>
      </c>
      <c r="F48" s="0" t="s">
        <v>3359</v>
      </c>
      <c r="G48" s="0" t="s">
        <v>1811</v>
      </c>
    </row>
    <row customHeight="1" ht="11.25">
      <c r="A49" s="389" t="s">
        <v>16</v>
      </c>
      <c r="B49" s="0" t="s">
        <v>3423</v>
      </c>
      <c r="C49" s="0" t="s">
        <v>3424</v>
      </c>
      <c r="D49" s="0" t="s">
        <v>3423</v>
      </c>
      <c r="E49" s="0" t="s">
        <v>3424</v>
      </c>
      <c r="F49" s="0" t="s">
        <v>3360</v>
      </c>
      <c r="G49" s="0" t="s">
        <v>1814</v>
      </c>
    </row>
    <row customHeight="1" ht="11.25">
      <c r="A50" s="389" t="s">
        <v>16</v>
      </c>
      <c r="B50" s="0" t="s">
        <v>3423</v>
      </c>
      <c r="C50" s="0" t="s">
        <v>3424</v>
      </c>
      <c r="D50" s="0" t="s">
        <v>3425</v>
      </c>
      <c r="E50" s="0" t="s">
        <v>3426</v>
      </c>
      <c r="F50" s="0" t="s">
        <v>3359</v>
      </c>
      <c r="G50" s="0" t="s">
        <v>1818</v>
      </c>
    </row>
    <row customHeight="1" ht="11.25">
      <c r="A51" s="389" t="s">
        <v>16</v>
      </c>
      <c r="B51" s="0" t="s">
        <v>3423</v>
      </c>
      <c r="C51" s="0" t="s">
        <v>3424</v>
      </c>
      <c r="D51" s="0" t="s">
        <v>3427</v>
      </c>
      <c r="E51" s="0" t="s">
        <v>3428</v>
      </c>
      <c r="F51" s="0" t="s">
        <v>3359</v>
      </c>
      <c r="G51" s="0" t="s">
        <v>1822</v>
      </c>
    </row>
    <row customHeight="1" ht="11.25">
      <c r="A52" s="389" t="s">
        <v>16</v>
      </c>
      <c r="B52" s="0" t="s">
        <v>3423</v>
      </c>
      <c r="C52" s="0" t="s">
        <v>3424</v>
      </c>
      <c r="D52" s="0" t="s">
        <v>3429</v>
      </c>
      <c r="E52" s="0" t="s">
        <v>3430</v>
      </c>
      <c r="F52" s="0" t="s">
        <v>3359</v>
      </c>
      <c r="G52" s="0" t="s">
        <v>1826</v>
      </c>
    </row>
    <row customHeight="1" ht="11.25">
      <c r="A53" s="389" t="s">
        <v>16</v>
      </c>
      <c r="B53" s="0" t="s">
        <v>125</v>
      </c>
      <c r="C53" s="0" t="s">
        <v>126</v>
      </c>
      <c r="D53" s="0" t="s">
        <v>125</v>
      </c>
      <c r="E53" s="0" t="s">
        <v>126</v>
      </c>
      <c r="F53" s="0" t="s">
        <v>3344</v>
      </c>
      <c r="G53" s="0" t="s">
        <v>124</v>
      </c>
    </row>
    <row customHeight="1" ht="11.25">
      <c r="A54" s="389" t="s">
        <v>16</v>
      </c>
      <c r="B54" s="0" t="s">
        <v>3431</v>
      </c>
      <c r="C54" s="0" t="s">
        <v>3432</v>
      </c>
      <c r="D54" s="0" t="s">
        <v>3431</v>
      </c>
      <c r="E54" s="0" t="s">
        <v>3432</v>
      </c>
      <c r="F54" s="0" t="s">
        <v>3343</v>
      </c>
      <c r="G54" s="0" t="s">
        <v>1830</v>
      </c>
    </row>
    <row customHeight="1" ht="11.25">
      <c r="A55" s="389" t="s">
        <v>16</v>
      </c>
      <c r="B55" s="0" t="s">
        <v>3433</v>
      </c>
      <c r="C55" s="0" t="s">
        <v>3434</v>
      </c>
      <c r="D55" s="0" t="s">
        <v>3433</v>
      </c>
      <c r="E55" s="0" t="s">
        <v>3434</v>
      </c>
      <c r="F55" s="0" t="s">
        <v>3343</v>
      </c>
      <c r="G55" s="0" t="s">
        <v>1835</v>
      </c>
    </row>
    <row customHeight="1" ht="11.25">
      <c r="A56" s="389" t="s">
        <v>16</v>
      </c>
      <c r="B56" s="0" t="s">
        <v>165</v>
      </c>
      <c r="C56" s="0" t="s">
        <v>166</v>
      </c>
      <c r="D56" s="0" t="s">
        <v>165</v>
      </c>
      <c r="E56" s="0" t="s">
        <v>166</v>
      </c>
      <c r="F56" s="0" t="s">
        <v>3344</v>
      </c>
      <c r="G56" s="0" t="s">
        <v>164</v>
      </c>
    </row>
    <row customHeight="1" ht="11.25">
      <c r="A57" s="389" t="s">
        <v>16</v>
      </c>
      <c r="B57" s="0" t="s">
        <v>170</v>
      </c>
      <c r="C57" s="0" t="s">
        <v>171</v>
      </c>
      <c r="D57" s="0" t="s">
        <v>170</v>
      </c>
      <c r="E57" s="0" t="s">
        <v>171</v>
      </c>
      <c r="F57" s="0" t="s">
        <v>3343</v>
      </c>
      <c r="G57" s="0" t="s">
        <v>169</v>
      </c>
    </row>
    <row customHeight="1" ht="11.25">
      <c r="A58" s="389" t="s">
        <v>16</v>
      </c>
      <c r="B58" s="0" t="s">
        <v>3435</v>
      </c>
      <c r="C58" s="0" t="s">
        <v>3436</v>
      </c>
      <c r="D58" s="0" t="s">
        <v>3437</v>
      </c>
      <c r="E58" s="0" t="s">
        <v>3438</v>
      </c>
      <c r="F58" s="0" t="s">
        <v>3359</v>
      </c>
      <c r="G58" s="0" t="s">
        <v>1842</v>
      </c>
    </row>
    <row customHeight="1" ht="11.25">
      <c r="A59" s="389" t="s">
        <v>16</v>
      </c>
      <c r="B59" s="0" t="s">
        <v>3435</v>
      </c>
      <c r="C59" s="0" t="s">
        <v>3436</v>
      </c>
      <c r="D59" s="0" t="s">
        <v>3439</v>
      </c>
      <c r="E59" s="0" t="s">
        <v>3440</v>
      </c>
      <c r="F59" s="0" t="s">
        <v>3359</v>
      </c>
      <c r="G59" s="0" t="s">
        <v>1846</v>
      </c>
    </row>
    <row customHeight="1" ht="11.25">
      <c r="A60" s="389" t="s">
        <v>16</v>
      </c>
      <c r="B60" s="0" t="s">
        <v>3435</v>
      </c>
      <c r="C60" s="0" t="s">
        <v>3436</v>
      </c>
      <c r="D60" s="0" t="s">
        <v>3441</v>
      </c>
      <c r="E60" s="0" t="s">
        <v>3442</v>
      </c>
      <c r="F60" s="0" t="s">
        <v>3359</v>
      </c>
      <c r="G60" s="0" t="s">
        <v>1850</v>
      </c>
    </row>
    <row customHeight="1" ht="11.25">
      <c r="A61" s="389" t="s">
        <v>16</v>
      </c>
      <c r="B61" s="0" t="s">
        <v>3435</v>
      </c>
      <c r="C61" s="0" t="s">
        <v>3436</v>
      </c>
      <c r="D61" s="0" t="s">
        <v>3443</v>
      </c>
      <c r="E61" s="0" t="s">
        <v>3444</v>
      </c>
      <c r="F61" s="0" t="s">
        <v>3365</v>
      </c>
      <c r="G61" s="0" t="s">
        <v>3445</v>
      </c>
    </row>
    <row customHeight="1" ht="11.25">
      <c r="A62" s="389" t="s">
        <v>16</v>
      </c>
      <c r="B62" s="0" t="s">
        <v>3435</v>
      </c>
      <c r="C62" s="0" t="s">
        <v>3436</v>
      </c>
      <c r="D62" s="0" t="s">
        <v>3446</v>
      </c>
      <c r="E62" s="0" t="s">
        <v>3447</v>
      </c>
      <c r="F62" s="0" t="s">
        <v>3359</v>
      </c>
      <c r="G62" s="0" t="s">
        <v>3448</v>
      </c>
    </row>
    <row customHeight="1" ht="11.25">
      <c r="A63" s="389" t="s">
        <v>16</v>
      </c>
      <c r="B63" s="0" t="s">
        <v>3435</v>
      </c>
      <c r="C63" s="0" t="s">
        <v>3436</v>
      </c>
      <c r="D63" s="0" t="s">
        <v>3449</v>
      </c>
      <c r="E63" s="0" t="s">
        <v>3450</v>
      </c>
      <c r="F63" s="0" t="s">
        <v>3359</v>
      </c>
      <c r="G63" s="0" t="s">
        <v>3451</v>
      </c>
    </row>
    <row customHeight="1" ht="11.25">
      <c r="A64" s="389" t="s">
        <v>16</v>
      </c>
      <c r="B64" s="0" t="s">
        <v>3435</v>
      </c>
      <c r="C64" s="0" t="s">
        <v>3436</v>
      </c>
      <c r="D64" s="0" t="s">
        <v>3435</v>
      </c>
      <c r="E64" s="0" t="s">
        <v>3436</v>
      </c>
      <c r="F64" s="0" t="s">
        <v>3360</v>
      </c>
      <c r="G64" s="0" t="s">
        <v>3452</v>
      </c>
    </row>
    <row customHeight="1" ht="11.25">
      <c r="A65" s="389" t="s">
        <v>16</v>
      </c>
      <c r="B65" s="0" t="s">
        <v>3435</v>
      </c>
      <c r="C65" s="0" t="s">
        <v>3436</v>
      </c>
      <c r="D65" s="0" t="s">
        <v>3453</v>
      </c>
      <c r="E65" s="0" t="s">
        <v>3454</v>
      </c>
      <c r="F65" s="0" t="s">
        <v>3359</v>
      </c>
      <c r="G65" s="0" t="s">
        <v>3455</v>
      </c>
    </row>
    <row customHeight="1" ht="11.25">
      <c r="A66" s="389" t="s">
        <v>16</v>
      </c>
      <c r="B66" s="0" t="s">
        <v>3456</v>
      </c>
      <c r="C66" s="0" t="s">
        <v>3457</v>
      </c>
      <c r="D66" s="0" t="s">
        <v>3456</v>
      </c>
      <c r="E66" s="0" t="s">
        <v>3457</v>
      </c>
      <c r="F66" s="0" t="s">
        <v>3343</v>
      </c>
      <c r="G66" s="0" t="s">
        <v>3458</v>
      </c>
    </row>
    <row customHeight="1" ht="11.25">
      <c r="A67" s="389" t="s">
        <v>16</v>
      </c>
      <c r="B67" s="0" t="s">
        <v>3459</v>
      </c>
      <c r="C67" s="0" t="s">
        <v>3460</v>
      </c>
      <c r="D67" s="0" t="s">
        <v>3459</v>
      </c>
      <c r="E67" s="0" t="s">
        <v>3460</v>
      </c>
      <c r="F67" s="0" t="s">
        <v>3343</v>
      </c>
      <c r="G67" s="0" t="s">
        <v>2168</v>
      </c>
    </row>
    <row customHeight="1" ht="11.25">
      <c r="A68" s="389" t="s">
        <v>16</v>
      </c>
      <c r="B68" s="0" t="s">
        <v>155</v>
      </c>
      <c r="C68" s="0" t="s">
        <v>3461</v>
      </c>
      <c r="D68" s="0" t="s">
        <v>3462</v>
      </c>
      <c r="E68" s="0" t="s">
        <v>3463</v>
      </c>
      <c r="F68" s="0" t="s">
        <v>3359</v>
      </c>
      <c r="G68" s="0" t="s">
        <v>3464</v>
      </c>
    </row>
    <row customHeight="1" ht="11.25">
      <c r="A69" s="389" t="s">
        <v>16</v>
      </c>
      <c r="B69" s="0" t="s">
        <v>155</v>
      </c>
      <c r="C69" s="0" t="s">
        <v>3461</v>
      </c>
      <c r="D69" s="0" t="s">
        <v>3465</v>
      </c>
      <c r="E69" s="0" t="s">
        <v>3466</v>
      </c>
      <c r="F69" s="0" t="s">
        <v>3359</v>
      </c>
      <c r="G69" s="0" t="s">
        <v>2371</v>
      </c>
    </row>
    <row customHeight="1" ht="11.25">
      <c r="A70" s="389" t="s">
        <v>16</v>
      </c>
      <c r="B70" s="0" t="s">
        <v>155</v>
      </c>
      <c r="C70" s="0" t="s">
        <v>3461</v>
      </c>
      <c r="D70" s="0" t="s">
        <v>3467</v>
      </c>
      <c r="E70" s="0" t="s">
        <v>3468</v>
      </c>
      <c r="F70" s="0" t="s">
        <v>3359</v>
      </c>
      <c r="G70" s="0" t="s">
        <v>3469</v>
      </c>
    </row>
    <row customHeight="1" ht="11.25">
      <c r="A71" s="389" t="s">
        <v>16</v>
      </c>
      <c r="B71" s="0" t="s">
        <v>155</v>
      </c>
      <c r="C71" s="0" t="s">
        <v>3461</v>
      </c>
      <c r="D71" s="0" t="s">
        <v>3470</v>
      </c>
      <c r="E71" s="0" t="s">
        <v>3471</v>
      </c>
      <c r="F71" s="0" t="s">
        <v>3359</v>
      </c>
      <c r="G71" s="0" t="s">
        <v>3472</v>
      </c>
    </row>
    <row customHeight="1" ht="11.25">
      <c r="A72" s="389" t="s">
        <v>16</v>
      </c>
      <c r="B72" s="0" t="s">
        <v>155</v>
      </c>
      <c r="C72" s="0" t="s">
        <v>3461</v>
      </c>
      <c r="D72" s="0" t="s">
        <v>3473</v>
      </c>
      <c r="E72" s="0" t="s">
        <v>3474</v>
      </c>
      <c r="F72" s="0" t="s">
        <v>3359</v>
      </c>
      <c r="G72" s="0" t="s">
        <v>3475</v>
      </c>
    </row>
    <row customHeight="1" ht="11.25">
      <c r="A73" s="389" t="s">
        <v>16</v>
      </c>
      <c r="B73" s="0" t="s">
        <v>155</v>
      </c>
      <c r="C73" s="0" t="s">
        <v>3461</v>
      </c>
      <c r="D73" s="0" t="s">
        <v>155</v>
      </c>
      <c r="E73" s="0" t="s">
        <v>3461</v>
      </c>
      <c r="F73" s="0" t="s">
        <v>3360</v>
      </c>
      <c r="G73" s="0" t="s">
        <v>3476</v>
      </c>
    </row>
    <row customHeight="1" ht="11.25">
      <c r="A74" s="389" t="s">
        <v>16</v>
      </c>
      <c r="B74" s="0" t="s">
        <v>155</v>
      </c>
      <c r="C74" s="0" t="s">
        <v>3461</v>
      </c>
      <c r="D74" s="0" t="s">
        <v>156</v>
      </c>
      <c r="E74" s="0" t="s">
        <v>157</v>
      </c>
      <c r="F74" s="0" t="s">
        <v>3359</v>
      </c>
      <c r="G74" s="0" t="s">
        <v>154</v>
      </c>
    </row>
    <row customHeight="1" ht="11.25">
      <c r="A75" s="389" t="s">
        <v>16</v>
      </c>
      <c r="B75" s="0" t="s">
        <v>155</v>
      </c>
      <c r="C75" s="0" t="s">
        <v>3461</v>
      </c>
      <c r="D75" s="0" t="s">
        <v>3477</v>
      </c>
      <c r="E75" s="0" t="s">
        <v>3478</v>
      </c>
      <c r="F75" s="0" t="s">
        <v>3359</v>
      </c>
      <c r="G75" s="0" t="s">
        <v>3479</v>
      </c>
    </row>
    <row customHeight="1" ht="11.25">
      <c r="A76" s="389" t="s">
        <v>16</v>
      </c>
      <c r="B76" s="0" t="s">
        <v>155</v>
      </c>
      <c r="C76" s="0" t="s">
        <v>3461</v>
      </c>
      <c r="D76" s="0" t="s">
        <v>3480</v>
      </c>
      <c r="E76" s="0" t="s">
        <v>3481</v>
      </c>
      <c r="F76" s="0" t="s">
        <v>3359</v>
      </c>
      <c r="G76" s="0" t="s">
        <v>3482</v>
      </c>
    </row>
    <row customHeight="1" ht="11.25">
      <c r="A77" s="389" t="s">
        <v>16</v>
      </c>
      <c r="B77" s="0" t="s">
        <v>3483</v>
      </c>
      <c r="C77" s="0" t="s">
        <v>3484</v>
      </c>
      <c r="D77" s="0" t="s">
        <v>3483</v>
      </c>
      <c r="E77" s="0" t="s">
        <v>3484</v>
      </c>
      <c r="F77" s="0" t="s">
        <v>3343</v>
      </c>
      <c r="G77" s="0" t="s">
        <v>3485</v>
      </c>
    </row>
    <row customHeight="1" ht="11.25">
      <c r="A78" s="389" t="s">
        <v>16</v>
      </c>
      <c r="B78" s="0" t="s">
        <v>3486</v>
      </c>
      <c r="C78" s="0" t="s">
        <v>3487</v>
      </c>
      <c r="D78" s="0" t="s">
        <v>3486</v>
      </c>
      <c r="E78" s="0" t="s">
        <v>3487</v>
      </c>
      <c r="F78" s="0" t="s">
        <v>3344</v>
      </c>
      <c r="G78" s="0" t="s">
        <v>3488</v>
      </c>
    </row>
    <row customHeight="1" ht="11.25">
      <c r="A79" s="389" t="s">
        <v>16</v>
      </c>
      <c r="B79" s="0" t="s">
        <v>3489</v>
      </c>
      <c r="C79" s="0" t="s">
        <v>3490</v>
      </c>
      <c r="D79" s="0" t="s">
        <v>3489</v>
      </c>
      <c r="E79" s="0" t="s">
        <v>3490</v>
      </c>
      <c r="F79" s="0" t="s">
        <v>3343</v>
      </c>
      <c r="G79" s="0" t="s">
        <v>3491</v>
      </c>
    </row>
    <row customHeight="1" ht="11.25">
      <c r="A80" s="389" t="s">
        <v>16</v>
      </c>
      <c r="B80" s="0" t="s">
        <v>111</v>
      </c>
      <c r="C80" s="0" t="s">
        <v>112</v>
      </c>
      <c r="D80" s="0" t="s">
        <v>111</v>
      </c>
      <c r="E80" s="0" t="s">
        <v>112</v>
      </c>
      <c r="F80" s="0" t="s">
        <v>3343</v>
      </c>
      <c r="G80" s="0" t="s">
        <v>110</v>
      </c>
    </row>
    <row customHeight="1" ht="11.25">
      <c r="A81" s="389" t="s">
        <v>16</v>
      </c>
      <c r="B81" s="0" t="s">
        <v>129</v>
      </c>
      <c r="C81" s="0" t="s">
        <v>130</v>
      </c>
      <c r="D81" s="0" t="s">
        <v>129</v>
      </c>
      <c r="E81" s="0" t="s">
        <v>130</v>
      </c>
      <c r="F81" s="0" t="s">
        <v>3343</v>
      </c>
      <c r="G81" s="0" t="s">
        <v>128</v>
      </c>
    </row>
    <row customHeight="1" ht="11.25">
      <c r="A82" s="389" t="s">
        <v>16</v>
      </c>
      <c r="B82" s="0" t="s">
        <v>3492</v>
      </c>
      <c r="C82" s="0" t="s">
        <v>3493</v>
      </c>
      <c r="D82" s="0" t="s">
        <v>3492</v>
      </c>
      <c r="E82" s="0" t="s">
        <v>3493</v>
      </c>
      <c r="F82" s="0" t="s">
        <v>3343</v>
      </c>
      <c r="G82" s="0" t="s">
        <v>3494</v>
      </c>
    </row>
    <row customHeight="1" ht="11.25">
      <c r="A83" s="389" t="s">
        <v>16</v>
      </c>
      <c r="B83" s="0" t="s">
        <v>3495</v>
      </c>
      <c r="C83" s="0" t="s">
        <v>3496</v>
      </c>
      <c r="D83" s="0" t="s">
        <v>3497</v>
      </c>
      <c r="E83" s="0" t="s">
        <v>3498</v>
      </c>
      <c r="F83" s="0" t="s">
        <v>3359</v>
      </c>
      <c r="G83" s="0" t="s">
        <v>3499</v>
      </c>
    </row>
    <row customHeight="1" ht="11.25">
      <c r="A84" s="389" t="s">
        <v>16</v>
      </c>
      <c r="B84" s="0" t="s">
        <v>3495</v>
      </c>
      <c r="C84" s="0" t="s">
        <v>3496</v>
      </c>
      <c r="D84" s="0" t="s">
        <v>3500</v>
      </c>
      <c r="E84" s="0" t="s">
        <v>3501</v>
      </c>
      <c r="F84" s="0" t="s">
        <v>3365</v>
      </c>
      <c r="G84" s="0" t="s">
        <v>3502</v>
      </c>
    </row>
    <row customHeight="1" ht="11.25">
      <c r="A85" s="389" t="s">
        <v>16</v>
      </c>
      <c r="B85" s="0" t="s">
        <v>3495</v>
      </c>
      <c r="C85" s="0" t="s">
        <v>3496</v>
      </c>
      <c r="D85" s="0" t="s">
        <v>3503</v>
      </c>
      <c r="E85" s="0" t="s">
        <v>3504</v>
      </c>
      <c r="F85" s="0" t="s">
        <v>3359</v>
      </c>
      <c r="G85" s="0" t="s">
        <v>3505</v>
      </c>
    </row>
    <row customHeight="1" ht="11.25">
      <c r="A86" s="389" t="s">
        <v>16</v>
      </c>
      <c r="B86" s="0" t="s">
        <v>3495</v>
      </c>
      <c r="C86" s="0" t="s">
        <v>3496</v>
      </c>
      <c r="D86" s="0" t="s">
        <v>3506</v>
      </c>
      <c r="E86" s="0" t="s">
        <v>3507</v>
      </c>
      <c r="F86" s="0" t="s">
        <v>3376</v>
      </c>
      <c r="G86" s="0" t="s">
        <v>3508</v>
      </c>
    </row>
    <row customHeight="1" ht="11.25">
      <c r="A87" s="389" t="s">
        <v>16</v>
      </c>
      <c r="B87" s="0" t="s">
        <v>3495</v>
      </c>
      <c r="C87" s="0" t="s">
        <v>3496</v>
      </c>
      <c r="D87" s="0" t="s">
        <v>3509</v>
      </c>
      <c r="E87" s="0" t="s">
        <v>3510</v>
      </c>
      <c r="F87" s="0" t="s">
        <v>3359</v>
      </c>
      <c r="G87" s="0" t="s">
        <v>3511</v>
      </c>
    </row>
    <row customHeight="1" ht="11.25">
      <c r="A88" s="389" t="s">
        <v>16</v>
      </c>
      <c r="B88" s="0" t="s">
        <v>3495</v>
      </c>
      <c r="C88" s="0" t="s">
        <v>3496</v>
      </c>
      <c r="D88" s="0" t="s">
        <v>3495</v>
      </c>
      <c r="E88" s="0" t="s">
        <v>3496</v>
      </c>
      <c r="F88" s="0" t="s">
        <v>3360</v>
      </c>
      <c r="G88" s="0" t="s">
        <v>3512</v>
      </c>
    </row>
    <row customHeight="1" ht="11.25">
      <c r="A89" s="389" t="s">
        <v>16</v>
      </c>
      <c r="B89" s="0" t="s">
        <v>3495</v>
      </c>
      <c r="C89" s="0" t="s">
        <v>3496</v>
      </c>
      <c r="D89" s="0" t="s">
        <v>3513</v>
      </c>
      <c r="E89" s="0" t="s">
        <v>3514</v>
      </c>
      <c r="F89" s="0" t="s">
        <v>3359</v>
      </c>
      <c r="G89" s="0" t="s">
        <v>3515</v>
      </c>
    </row>
    <row customHeight="1" ht="11.25">
      <c r="A90" s="389" t="s">
        <v>16</v>
      </c>
      <c r="B90" s="0" t="s">
        <v>3516</v>
      </c>
      <c r="C90" s="0" t="s">
        <v>3517</v>
      </c>
      <c r="D90" s="0" t="s">
        <v>3516</v>
      </c>
      <c r="E90" s="0" t="s">
        <v>3517</v>
      </c>
      <c r="F90" s="0" t="s">
        <v>3343</v>
      </c>
      <c r="G90" s="0" t="s">
        <v>3518</v>
      </c>
    </row>
    <row customHeight="1" ht="11.25">
      <c r="A91" s="389" t="s">
        <v>16</v>
      </c>
      <c r="B91" s="0" t="s">
        <v>3519</v>
      </c>
      <c r="C91" s="0" t="s">
        <v>3520</v>
      </c>
      <c r="D91" s="0" t="s">
        <v>3519</v>
      </c>
      <c r="E91" s="0" t="s">
        <v>3520</v>
      </c>
      <c r="F91" s="0" t="s">
        <v>3343</v>
      </c>
      <c r="G91" s="0" t="s">
        <v>3521</v>
      </c>
    </row>
    <row customHeight="1" ht="11.25">
      <c r="A92" s="389" t="s">
        <v>16</v>
      </c>
      <c r="B92" s="0" t="s">
        <v>3522</v>
      </c>
      <c r="C92" s="0" t="s">
        <v>3523</v>
      </c>
      <c r="D92" s="0" t="s">
        <v>3524</v>
      </c>
      <c r="E92" s="0" t="s">
        <v>3525</v>
      </c>
      <c r="F92" s="0" t="s">
        <v>3359</v>
      </c>
      <c r="G92" s="0" t="s">
        <v>3526</v>
      </c>
    </row>
    <row customHeight="1" ht="11.25">
      <c r="A93" s="389" t="s">
        <v>16</v>
      </c>
      <c r="B93" s="0" t="s">
        <v>3522</v>
      </c>
      <c r="C93" s="0" t="s">
        <v>3523</v>
      </c>
      <c r="D93" s="0" t="s">
        <v>3527</v>
      </c>
      <c r="E93" s="0" t="s">
        <v>3528</v>
      </c>
      <c r="F93" s="0" t="s">
        <v>3359</v>
      </c>
      <c r="G93" s="0" t="s">
        <v>3529</v>
      </c>
    </row>
    <row customHeight="1" ht="11.25">
      <c r="A94" s="389" t="s">
        <v>16</v>
      </c>
      <c r="B94" s="0" t="s">
        <v>3522</v>
      </c>
      <c r="C94" s="0" t="s">
        <v>3523</v>
      </c>
      <c r="D94" s="0" t="s">
        <v>3530</v>
      </c>
      <c r="E94" s="0" t="s">
        <v>3531</v>
      </c>
      <c r="F94" s="0" t="s">
        <v>3359</v>
      </c>
      <c r="G94" s="0" t="s">
        <v>3532</v>
      </c>
    </row>
    <row customHeight="1" ht="11.25">
      <c r="A95" s="389" t="s">
        <v>16</v>
      </c>
      <c r="B95" s="0" t="s">
        <v>3522</v>
      </c>
      <c r="C95" s="0" t="s">
        <v>3523</v>
      </c>
      <c r="D95" s="0" t="s">
        <v>3533</v>
      </c>
      <c r="E95" s="0" t="s">
        <v>3534</v>
      </c>
      <c r="F95" s="0" t="s">
        <v>3376</v>
      </c>
      <c r="G95" s="0" t="s">
        <v>3535</v>
      </c>
    </row>
    <row customHeight="1" ht="11.25">
      <c r="A96" s="389" t="s">
        <v>16</v>
      </c>
      <c r="B96" s="0" t="s">
        <v>3522</v>
      </c>
      <c r="C96" s="0" t="s">
        <v>3523</v>
      </c>
      <c r="D96" s="0" t="s">
        <v>3536</v>
      </c>
      <c r="E96" s="0" t="s">
        <v>3537</v>
      </c>
      <c r="F96" s="0" t="s">
        <v>3359</v>
      </c>
      <c r="G96" s="0" t="s">
        <v>3538</v>
      </c>
    </row>
    <row customHeight="1" ht="11.25">
      <c r="A97" s="389" t="s">
        <v>16</v>
      </c>
      <c r="B97" s="0" t="s">
        <v>3522</v>
      </c>
      <c r="C97" s="0" t="s">
        <v>3523</v>
      </c>
      <c r="D97" s="0" t="s">
        <v>3522</v>
      </c>
      <c r="E97" s="0" t="s">
        <v>3523</v>
      </c>
      <c r="F97" s="0" t="s">
        <v>3360</v>
      </c>
      <c r="G97" s="0" t="s">
        <v>3539</v>
      </c>
    </row>
    <row customHeight="1" ht="11.25">
      <c r="A98" s="389" t="s">
        <v>16</v>
      </c>
      <c r="B98" s="0" t="s">
        <v>3522</v>
      </c>
      <c r="C98" s="0" t="s">
        <v>3523</v>
      </c>
      <c r="D98" s="0" t="s">
        <v>3540</v>
      </c>
      <c r="E98" s="0" t="s">
        <v>3541</v>
      </c>
      <c r="F98" s="0" t="s">
        <v>3376</v>
      </c>
      <c r="G98" s="0" t="s">
        <v>3542</v>
      </c>
    </row>
    <row customHeight="1" ht="11.25">
      <c r="A99" s="389" t="s">
        <v>16</v>
      </c>
      <c r="B99" s="0" t="s">
        <v>3522</v>
      </c>
      <c r="C99" s="0" t="s">
        <v>3523</v>
      </c>
      <c r="D99" s="0" t="s">
        <v>3543</v>
      </c>
      <c r="E99" s="0" t="s">
        <v>3544</v>
      </c>
      <c r="F99" s="0" t="s">
        <v>3359</v>
      </c>
      <c r="G99" s="0" t="s">
        <v>3545</v>
      </c>
    </row>
    <row customHeight="1" ht="11.25">
      <c r="A100" s="389" t="s">
        <v>16</v>
      </c>
      <c r="B100" s="0" t="s">
        <v>3546</v>
      </c>
      <c r="C100" s="0" t="s">
        <v>3547</v>
      </c>
      <c r="D100" s="0" t="s">
        <v>3546</v>
      </c>
      <c r="E100" s="0" t="s">
        <v>3547</v>
      </c>
      <c r="F100" s="0" t="s">
        <v>3343</v>
      </c>
      <c r="G100" s="0" t="s">
        <v>3548</v>
      </c>
    </row>
    <row customHeight="1" ht="11.25">
      <c r="A101" s="389" t="s">
        <v>16</v>
      </c>
      <c r="B101" s="0" t="s">
        <v>3549</v>
      </c>
      <c r="C101" s="0" t="s">
        <v>3550</v>
      </c>
      <c r="D101" s="0" t="s">
        <v>3551</v>
      </c>
      <c r="E101" s="0" t="s">
        <v>3552</v>
      </c>
      <c r="F101" s="0" t="s">
        <v>3359</v>
      </c>
      <c r="G101" s="0" t="s">
        <v>3553</v>
      </c>
    </row>
    <row customHeight="1" ht="11.25">
      <c r="A102" s="389" t="s">
        <v>16</v>
      </c>
      <c r="B102" s="0" t="s">
        <v>3549</v>
      </c>
      <c r="C102" s="0" t="s">
        <v>3550</v>
      </c>
      <c r="D102" s="0" t="s">
        <v>3554</v>
      </c>
      <c r="E102" s="0" t="s">
        <v>3555</v>
      </c>
      <c r="F102" s="0" t="s">
        <v>3359</v>
      </c>
      <c r="G102" s="0" t="s">
        <v>3556</v>
      </c>
    </row>
    <row customHeight="1" ht="11.25">
      <c r="A103" s="389" t="s">
        <v>16</v>
      </c>
      <c r="B103" s="0" t="s">
        <v>3549</v>
      </c>
      <c r="C103" s="0" t="s">
        <v>3550</v>
      </c>
      <c r="D103" s="0" t="s">
        <v>3557</v>
      </c>
      <c r="E103" s="0" t="s">
        <v>3558</v>
      </c>
      <c r="F103" s="0" t="s">
        <v>3359</v>
      </c>
      <c r="G103" s="0" t="s">
        <v>3559</v>
      </c>
    </row>
    <row customHeight="1" ht="11.25">
      <c r="A104" s="389" t="s">
        <v>16</v>
      </c>
      <c r="B104" s="0" t="s">
        <v>3549</v>
      </c>
      <c r="C104" s="0" t="s">
        <v>3550</v>
      </c>
      <c r="D104" s="0" t="s">
        <v>3560</v>
      </c>
      <c r="E104" s="0" t="s">
        <v>3561</v>
      </c>
      <c r="F104" s="0" t="s">
        <v>3359</v>
      </c>
      <c r="G104" s="0" t="s">
        <v>3562</v>
      </c>
    </row>
    <row customHeight="1" ht="11.25">
      <c r="A105" s="389" t="s">
        <v>16</v>
      </c>
      <c r="B105" s="0" t="s">
        <v>3549</v>
      </c>
      <c r="C105" s="0" t="s">
        <v>3550</v>
      </c>
      <c r="D105" s="0" t="s">
        <v>3549</v>
      </c>
      <c r="E105" s="0" t="s">
        <v>3550</v>
      </c>
      <c r="F105" s="0" t="s">
        <v>3360</v>
      </c>
      <c r="G105" s="0" t="s">
        <v>3563</v>
      </c>
    </row>
    <row customHeight="1" ht="11.25">
      <c r="A106" s="389" t="s">
        <v>16</v>
      </c>
      <c r="B106" s="0" t="s">
        <v>3549</v>
      </c>
      <c r="C106" s="0" t="s">
        <v>3550</v>
      </c>
      <c r="D106" s="0" t="s">
        <v>3564</v>
      </c>
      <c r="E106" s="0" t="s">
        <v>3565</v>
      </c>
      <c r="F106" s="0" t="s">
        <v>3359</v>
      </c>
      <c r="G106" s="0" t="s">
        <v>3566</v>
      </c>
    </row>
    <row customHeight="1" ht="11.25">
      <c r="A107" s="389" t="s">
        <v>16</v>
      </c>
      <c r="B107" s="0" t="s">
        <v>3567</v>
      </c>
      <c r="C107" s="0" t="s">
        <v>3568</v>
      </c>
      <c r="D107" s="0" t="s">
        <v>3567</v>
      </c>
      <c r="E107" s="0" t="s">
        <v>3568</v>
      </c>
      <c r="F107" s="0" t="s">
        <v>3344</v>
      </c>
      <c r="G107" s="0" t="s">
        <v>3569</v>
      </c>
    </row>
    <row customHeight="1" ht="11.25">
      <c r="A108" s="389" t="s">
        <v>16</v>
      </c>
      <c r="B108" s="0" t="s">
        <v>3570</v>
      </c>
      <c r="C108" s="0" t="s">
        <v>3571</v>
      </c>
      <c r="D108" s="0" t="s">
        <v>3570</v>
      </c>
      <c r="E108" s="0" t="s">
        <v>3571</v>
      </c>
      <c r="F108" s="0" t="s">
        <v>3344</v>
      </c>
      <c r="G108" s="0" t="s">
        <v>3572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A3B99-5F57-6827-0987-4F72A0899A95}"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707" width="13.8515625" customWidth="1"/>
    <col min="2" max="2" style="1707" width="10.421875" customWidth="1"/>
    <col min="3" max="3" style="1707" width="7.57421875" customWidth="1"/>
    <col min="4" max="4" style="1707" width="13.8515625" customWidth="1"/>
    <col min="5" max="5" style="1707" width="11.57421875" customWidth="1"/>
    <col min="6" max="6" style="1707" width="16.28125" customWidth="1"/>
    <col min="7" max="7" style="1707" width="16.00390625" customWidth="1"/>
    <col min="8" max="9" style="1707" width="16.140625" customWidth="1"/>
  </cols>
  <sheetData>
    <row customHeight="1" ht="11.25">
      <c r="A1" s="851" t="s">
        <v>3573</v>
      </c>
      <c r="B1" s="851" t="s">
        <v>3574</v>
      </c>
      <c r="C1" s="1175" t="s">
        <v>3575</v>
      </c>
      <c r="D1" s="851" t="s">
        <v>3576</v>
      </c>
      <c r="E1" s="851" t="s">
        <v>3577</v>
      </c>
      <c r="F1" s="1175" t="s">
        <v>3578</v>
      </c>
      <c r="G1" s="1175" t="s">
        <v>3579</v>
      </c>
      <c r="H1" s="1175" t="s">
        <v>3580</v>
      </c>
      <c r="I1" s="1175" t="s">
        <v>3581</v>
      </c>
    </row>
    <row customHeight="1" ht="11.25">
      <c r="A2" s="1707" t="s">
        <v>141</v>
      </c>
      <c r="B2" s="1707" t="s">
        <v>3582</v>
      </c>
      <c r="C2" s="1707" t="s">
        <v>28</v>
      </c>
      <c r="D2" s="1707" t="s">
        <v>3583</v>
      </c>
      <c r="E2" s="1707" t="s">
        <v>3584</v>
      </c>
      <c r="F2" s="1707" t="s">
        <v>28</v>
      </c>
      <c r="G2" s="1707" t="s">
        <v>28</v>
      </c>
      <c r="H2" s="1707" t="s">
        <v>28</v>
      </c>
      <c r="I2" s="1707" t="s">
        <v>28</v>
      </c>
    </row>
    <row customHeight="1" ht="11.25">
      <c r="A3" s="1707" t="s">
        <v>107</v>
      </c>
      <c r="B3" s="1707" t="s">
        <v>3585</v>
      </c>
      <c r="C3" s="1707" t="s">
        <v>28</v>
      </c>
      <c r="D3" s="1707" t="s">
        <v>3583</v>
      </c>
      <c r="E3" s="1707" t="s">
        <v>3586</v>
      </c>
      <c r="F3" s="1707" t="s">
        <v>28</v>
      </c>
      <c r="G3" s="1707" t="s">
        <v>28</v>
      </c>
      <c r="H3" s="1707" t="s">
        <v>28</v>
      </c>
      <c r="I3" s="1707" t="s">
        <v>28</v>
      </c>
    </row>
    <row customHeight="1" ht="11.25">
      <c r="A4" s="1707" t="s">
        <v>93</v>
      </c>
      <c r="B4" s="1707" t="s">
        <v>3587</v>
      </c>
      <c r="C4" s="1707" t="s">
        <v>28</v>
      </c>
      <c r="D4" s="1707" t="s">
        <v>3588</v>
      </c>
      <c r="E4" s="1707" t="s">
        <v>3589</v>
      </c>
      <c r="F4" s="1707" t="s">
        <v>28</v>
      </c>
      <c r="G4" s="1707" t="s">
        <v>28</v>
      </c>
      <c r="H4" s="1707" t="s">
        <v>28</v>
      </c>
      <c r="I4" s="1707" t="s">
        <v>28</v>
      </c>
    </row>
    <row customHeight="1" ht="11.25">
      <c r="A5" s="1707" t="s">
        <v>94</v>
      </c>
      <c r="B5" s="1707" t="s">
        <v>3590</v>
      </c>
      <c r="C5" s="1707" t="s">
        <v>28</v>
      </c>
      <c r="D5" s="1707" t="s">
        <v>3591</v>
      </c>
      <c r="E5" s="1707" t="s">
        <v>3586</v>
      </c>
      <c r="F5" s="1707" t="s">
        <v>28</v>
      </c>
      <c r="G5" s="1707" t="s">
        <v>28</v>
      </c>
      <c r="H5" s="1707" t="s">
        <v>28</v>
      </c>
      <c r="I5" s="1707" t="s">
        <v>28</v>
      </c>
    </row>
    <row customHeight="1" ht="11.25">
      <c r="A6" s="1707" t="s">
        <v>122</v>
      </c>
      <c r="B6" s="1707" t="s">
        <v>3592</v>
      </c>
      <c r="C6" s="1707" t="s">
        <v>28</v>
      </c>
      <c r="D6" s="1707" t="s">
        <v>3591</v>
      </c>
      <c r="E6" s="1707" t="s">
        <v>3593</v>
      </c>
      <c r="F6" s="1707" t="s">
        <v>28</v>
      </c>
      <c r="G6" s="1707" t="s">
        <v>28</v>
      </c>
      <c r="H6" s="1707" t="s">
        <v>28</v>
      </c>
      <c r="I6" s="1707" t="s">
        <v>28</v>
      </c>
    </row>
    <row customHeight="1" ht="11.25">
      <c r="A7" s="1707" t="s">
        <v>95</v>
      </c>
      <c r="B7" s="1707" t="s">
        <v>3594</v>
      </c>
      <c r="C7" s="1707" t="s">
        <v>28</v>
      </c>
      <c r="D7" s="1707" t="s">
        <v>3595</v>
      </c>
      <c r="E7" s="1707" t="s">
        <v>3584</v>
      </c>
      <c r="F7" s="1707" t="s">
        <v>28</v>
      </c>
      <c r="G7" s="1707" t="s">
        <v>28</v>
      </c>
      <c r="H7" s="1707" t="s">
        <v>28</v>
      </c>
      <c r="I7" s="1707" t="s">
        <v>28</v>
      </c>
    </row>
    <row customHeight="1" ht="11.25">
      <c r="A8" s="1707" t="s">
        <v>96</v>
      </c>
      <c r="B8" s="1707" t="s">
        <v>3596</v>
      </c>
      <c r="C8" s="1707" t="s">
        <v>28</v>
      </c>
      <c r="D8" s="1707" t="s">
        <v>3591</v>
      </c>
      <c r="E8" s="1707" t="s">
        <v>3586</v>
      </c>
      <c r="F8" s="1707" t="s">
        <v>28</v>
      </c>
      <c r="G8" s="1707" t="s">
        <v>28</v>
      </c>
      <c r="H8" s="1707" t="s">
        <v>28</v>
      </c>
      <c r="I8" s="1707" t="s">
        <v>28</v>
      </c>
    </row>
    <row customHeight="1" ht="11.25">
      <c r="A9" s="1707" t="s">
        <v>134</v>
      </c>
      <c r="B9" s="1707" t="s">
        <v>3597</v>
      </c>
      <c r="C9" s="1707" t="s">
        <v>28</v>
      </c>
      <c r="D9" s="1707" t="s">
        <v>3591</v>
      </c>
      <c r="E9" s="1707" t="s">
        <v>3593</v>
      </c>
      <c r="F9" s="1707" t="s">
        <v>28</v>
      </c>
      <c r="G9" s="1707" t="s">
        <v>28</v>
      </c>
      <c r="H9" s="1707" t="s">
        <v>28</v>
      </c>
      <c r="I9" s="1707" t="s">
        <v>28</v>
      </c>
    </row>
    <row customHeight="1" ht="11.25">
      <c r="A10" s="1707" t="s">
        <v>139</v>
      </c>
      <c r="B10" s="1707" t="s">
        <v>3598</v>
      </c>
      <c r="C10" s="1707" t="s">
        <v>28</v>
      </c>
      <c r="D10" s="1707" t="s">
        <v>3599</v>
      </c>
      <c r="E10" s="1707" t="s">
        <v>3593</v>
      </c>
      <c r="F10" s="1707" t="s">
        <v>28</v>
      </c>
      <c r="G10" s="1707" t="s">
        <v>28</v>
      </c>
      <c r="H10" s="1707" t="s">
        <v>28</v>
      </c>
      <c r="I10" s="1707" t="s">
        <v>28</v>
      </c>
    </row>
    <row customHeight="1" ht="11.25">
      <c r="A11" s="1707" t="s">
        <v>144</v>
      </c>
      <c r="B11" s="1707" t="s">
        <v>3600</v>
      </c>
      <c r="C11" s="1707" t="s">
        <v>28</v>
      </c>
      <c r="D11" s="1707" t="s">
        <v>3601</v>
      </c>
      <c r="E11" s="1707" t="s">
        <v>3602</v>
      </c>
      <c r="F11" s="1707" t="s">
        <v>28</v>
      </c>
      <c r="G11" s="1707" t="s">
        <v>28</v>
      </c>
      <c r="H11" s="1707" t="s">
        <v>28</v>
      </c>
      <c r="I11" s="1707" t="s">
        <v>28</v>
      </c>
    </row>
    <row customHeight="1" ht="11.25">
      <c r="A12" s="1707" t="s">
        <v>150</v>
      </c>
      <c r="B12" s="1707" t="s">
        <v>3603</v>
      </c>
      <c r="C12" s="1707" t="s">
        <v>28</v>
      </c>
      <c r="D12" s="1707" t="s">
        <v>3604</v>
      </c>
      <c r="E12" s="1707" t="s">
        <v>3602</v>
      </c>
      <c r="F12" s="1707" t="s">
        <v>28</v>
      </c>
      <c r="G12" s="1707" t="s">
        <v>28</v>
      </c>
      <c r="H12" s="1707" t="s">
        <v>28</v>
      </c>
      <c r="I12" s="1707" t="s">
        <v>28</v>
      </c>
    </row>
    <row customHeight="1" ht="11.25">
      <c r="A13" s="1707" t="s">
        <v>152</v>
      </c>
      <c r="B13" s="1707" t="s">
        <v>3605</v>
      </c>
      <c r="C13" s="1707" t="s">
        <v>28</v>
      </c>
      <c r="D13" s="1707" t="s">
        <v>3591</v>
      </c>
      <c r="E13" s="1707" t="s">
        <v>3593</v>
      </c>
      <c r="F13" s="1707" t="s">
        <v>28</v>
      </c>
      <c r="G13" s="1707" t="s">
        <v>28</v>
      </c>
      <c r="H13" s="1707" t="s">
        <v>28</v>
      </c>
      <c r="I13" s="1707" t="s">
        <v>28</v>
      </c>
    </row>
    <row customHeight="1" ht="11.25">
      <c r="A14" s="1707" t="s">
        <v>158</v>
      </c>
      <c r="B14" s="1707" t="s">
        <v>3606</v>
      </c>
      <c r="C14" s="1707" t="s">
        <v>28</v>
      </c>
      <c r="D14" s="1707" t="s">
        <v>3583</v>
      </c>
      <c r="E14" s="1707" t="s">
        <v>3586</v>
      </c>
      <c r="F14" s="1707" t="s">
        <v>28</v>
      </c>
      <c r="G14" s="1707" t="s">
        <v>28</v>
      </c>
      <c r="H14" s="1707" t="s">
        <v>28</v>
      </c>
      <c r="I14" s="1707" t="s">
        <v>28</v>
      </c>
    </row>
    <row customHeight="1" ht="11.25">
      <c r="A15" s="1707" t="s">
        <v>162</v>
      </c>
      <c r="B15" s="1707" t="s">
        <v>3607</v>
      </c>
      <c r="C15" s="1707" t="s">
        <v>28</v>
      </c>
      <c r="D15" s="1707" t="s">
        <v>3591</v>
      </c>
      <c r="E15" s="1707" t="s">
        <v>3593</v>
      </c>
      <c r="F15" s="1707" t="s">
        <v>28</v>
      </c>
      <c r="G15" s="1707" t="s">
        <v>28</v>
      </c>
      <c r="H15" s="1707" t="s">
        <v>28</v>
      </c>
      <c r="I15" s="1707" t="s">
        <v>28</v>
      </c>
    </row>
    <row customHeight="1" ht="11.25">
      <c r="A16" s="1707" t="s">
        <v>167</v>
      </c>
      <c r="B16" s="1707" t="s">
        <v>3608</v>
      </c>
      <c r="C16" s="1707" t="s">
        <v>28</v>
      </c>
      <c r="D16" s="1707" t="s">
        <v>3591</v>
      </c>
      <c r="E16" s="1707" t="s">
        <v>3593</v>
      </c>
      <c r="F16" s="1707" t="s">
        <v>28</v>
      </c>
      <c r="G16" s="1707" t="s">
        <v>28</v>
      </c>
      <c r="H16" s="1707" t="s">
        <v>28</v>
      </c>
      <c r="I16" s="1707" t="s">
        <v>28</v>
      </c>
    </row>
    <row customHeight="1" ht="11.25">
      <c r="A17" s="1707" t="s">
        <v>114</v>
      </c>
      <c r="B17" s="1707" t="s">
        <v>3609</v>
      </c>
      <c r="C17" s="1707" t="s">
        <v>28</v>
      </c>
      <c r="D17" s="1707" t="s">
        <v>3610</v>
      </c>
      <c r="E17" s="1707" t="s">
        <v>3611</v>
      </c>
      <c r="F17" s="1707" t="s">
        <v>28</v>
      </c>
      <c r="G17" s="1707" t="s">
        <v>28</v>
      </c>
      <c r="H17" s="1707" t="s">
        <v>28</v>
      </c>
      <c r="I17" s="1707" t="s">
        <v>28</v>
      </c>
    </row>
    <row customHeight="1" ht="11.25">
      <c r="A18" s="1707" t="s">
        <v>1635</v>
      </c>
      <c r="B18" s="1707" t="s">
        <v>3612</v>
      </c>
      <c r="C18" s="1707" t="s">
        <v>28</v>
      </c>
      <c r="D18" s="1707" t="s">
        <v>3604</v>
      </c>
      <c r="E18" s="1707" t="s">
        <v>3613</v>
      </c>
      <c r="F18" s="1707" t="s">
        <v>28</v>
      </c>
      <c r="G18" s="1707" t="s">
        <v>28</v>
      </c>
      <c r="H18" s="1707" t="s">
        <v>28</v>
      </c>
      <c r="I18" s="1707" t="s">
        <v>28</v>
      </c>
    </row>
    <row customHeight="1" ht="11.25">
      <c r="A19" s="1707" t="s">
        <v>102</v>
      </c>
      <c r="B19" s="1707" t="s">
        <v>3614</v>
      </c>
      <c r="C19" s="1707" t="s">
        <v>28</v>
      </c>
      <c r="D19" s="1707" t="s">
        <v>3615</v>
      </c>
      <c r="E19" s="1707" t="s">
        <v>3616</v>
      </c>
      <c r="F19" s="1707" t="s">
        <v>28</v>
      </c>
      <c r="G19" s="1707" t="s">
        <v>28</v>
      </c>
      <c r="H19" s="1707" t="s">
        <v>28</v>
      </c>
      <c r="I19" s="170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EA8C6-1179-26A5-3101-BCA35F75B9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B6FA9-A379-EC3D-68F7-5EFE4F04031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8" width="9.140625" hidden="1" customWidth="1"/>
    <col min="2" max="2" style="1651" width="9.140625" hidden="1" customWidth="1"/>
    <col min="3" max="3" style="1858" width="3.00390625" customWidth="1"/>
    <col min="4" max="4" style="1651" width="5.00390625" customWidth="1"/>
    <col min="5" max="5" style="1651" width="48.00390625" customWidth="1"/>
    <col min="6" max="6" style="1651" width="38.00390625" customWidth="1"/>
    <col min="7" max="7" style="1651" width="1.7109375" hidden="1" customWidth="1"/>
    <col min="8" max="11" style="1651" width="19.8515625" customWidth="1"/>
    <col min="12" max="12" style="1651" width="9.7109375" customWidth="1"/>
    <col min="13" max="18" style="1651" width="19.8515625" customWidth="1"/>
    <col min="19" max="19" style="1651" width="1.7109375" hidden="1" customWidth="1"/>
    <col min="20" max="22" style="1651" width="19.8515625" hidden="1" customWidth="1"/>
    <col min="23" max="23" style="1651" width="1.7109375" hidden="1" customWidth="1"/>
    <col min="24" max="26" style="1651" width="19.8515625" hidden="1" customWidth="1"/>
    <col min="27" max="27" style="1651" width="1.7109375" hidden="1" customWidth="1"/>
    <col min="28" max="29" style="1651" width="19.8515625" hidden="1" customWidth="1"/>
    <col min="30" max="30" style="1651" width="1.7109375" hidden="1" customWidth="1"/>
    <col min="31" max="31" style="1651" width="103.7109375" customWidth="1"/>
    <col min="32" max="34" style="1651" width="103.7109375" hidden="1" customWidth="1"/>
    <col min="35" max="35" style="1835" width="3.00390625" customWidth="1"/>
    <col min="36" max="38" style="1658" width="10.00390625" customWidth="1"/>
    <col min="39" max="39" style="1658" width="13.7109375" hidden="1" customWidth="1"/>
    <col min="40" max="40" style="1658" width="15.00390625" customWidth="1"/>
    <col min="41" max="41" style="1658" width="16.00390625" customWidth="1"/>
    <col min="42" max="45" style="1658" width="10.00390625" customWidth="1"/>
    <col min="46" max="46" style="1651" width="10.57421875" hidden="1"/>
  </cols>
  <sheetData>
    <row customHeight="1" ht="22.5" hidden="1">
      <c r="E1" s="428"/>
      <c r="F1" s="428"/>
      <c r="G1" s="428"/>
      <c r="H1" s="2233" t="s">
        <v>505</v>
      </c>
      <c r="I1" s="2233"/>
      <c r="J1" s="2233"/>
      <c r="K1" s="2233"/>
      <c r="L1" s="2233"/>
      <c r="M1" s="2233"/>
      <c r="N1" s="2233"/>
      <c r="O1" s="2233"/>
      <c r="P1" s="2233"/>
      <c r="Q1" s="2233"/>
      <c r="R1" s="2233"/>
      <c r="T1" s="2233" t="s">
        <v>506</v>
      </c>
      <c r="U1" s="2233"/>
      <c r="V1" s="2233"/>
      <c r="X1" s="2233" t="s">
        <v>507</v>
      </c>
      <c r="Y1" s="2233"/>
      <c r="Z1" s="2233"/>
      <c r="AB1" s="2233" t="s">
        <v>508</v>
      </c>
      <c r="AC1" s="2233"/>
      <c r="AT1" s="463" t="s">
        <v>14</v>
      </c>
    </row>
    <row customHeight="1" ht="14.25" hidden="1">
      <c r="AT2" s="463">
        <v>0</v>
      </c>
    </row>
    <row s="1629" customFormat="1" customHeight="1" ht="5.25">
      <c r="C3" s="717"/>
      <c r="D3" s="718"/>
      <c r="E3" s="718"/>
      <c r="F3" s="718"/>
      <c r="G3" s="718"/>
      <c r="H3" s="718" t="s">
        <v>509</v>
      </c>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J3" s="527"/>
      <c r="AK3" s="527"/>
      <c r="AL3" s="527"/>
      <c r="AM3" s="527"/>
      <c r="AN3" s="527"/>
      <c r="AO3" s="527"/>
      <c r="AP3" s="527"/>
      <c r="AQ3" s="527"/>
      <c r="AR3" s="527"/>
      <c r="AS3" s="527"/>
      <c r="AT3" s="716">
        <v>5</v>
      </c>
    </row>
    <row customHeight="1" ht="39.75">
      <c r="C4" s="466"/>
      <c r="D4" s="217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4"/>
      <c r="F4" s="2174"/>
      <c r="G4" s="2174"/>
      <c r="H4" s="2174"/>
      <c r="I4" s="2174"/>
      <c r="J4" s="2174"/>
      <c r="K4" s="2174"/>
      <c r="L4" s="2174"/>
      <c r="M4" s="2174"/>
      <c r="N4" s="2174"/>
      <c r="O4" s="2174"/>
      <c r="P4" s="2174"/>
      <c r="Q4" s="2174"/>
      <c r="R4" s="2175"/>
      <c r="S4" s="869"/>
      <c r="T4" s="715"/>
      <c r="U4" s="715"/>
      <c r="V4" s="715"/>
      <c r="W4" s="715"/>
      <c r="X4" s="715"/>
      <c r="Y4" s="715"/>
      <c r="Z4" s="715"/>
      <c r="AA4" s="715"/>
      <c r="AB4" s="715"/>
      <c r="AC4" s="715"/>
      <c r="AD4" s="715"/>
      <c r="AE4" s="507"/>
      <c r="AF4" s="507"/>
      <c r="AG4" s="507"/>
      <c r="AH4" s="507"/>
      <c r="AI4" s="504"/>
      <c r="AT4" s="463">
        <v>38</v>
      </c>
    </row>
    <row s="1651" customFormat="1" customHeight="1" ht="18">
      <c r="A5" s="775"/>
      <c r="C5" s="838"/>
      <c r="D5" s="2230" t="str">
        <f>IF(org=0,"Не определено",org)</f>
        <v>КГУП "Примтеплоэнерго"</v>
      </c>
      <c r="E5" s="2231"/>
      <c r="F5" s="2231"/>
      <c r="G5" s="2231"/>
      <c r="H5" s="2231"/>
      <c r="I5" s="2231"/>
      <c r="J5" s="2231"/>
      <c r="K5" s="2231"/>
      <c r="L5" s="2231"/>
      <c r="M5" s="2231"/>
      <c r="N5" s="2231"/>
      <c r="O5" s="2231"/>
      <c r="P5" s="2231"/>
      <c r="Q5" s="2231"/>
      <c r="R5" s="2232"/>
      <c r="S5" s="869"/>
      <c r="T5" s="715"/>
      <c r="U5" s="715"/>
      <c r="V5" s="715"/>
      <c r="W5" s="715"/>
      <c r="X5" s="715"/>
      <c r="Y5" s="715"/>
      <c r="Z5" s="715"/>
      <c r="AA5" s="715"/>
      <c r="AB5" s="715"/>
      <c r="AC5" s="715"/>
      <c r="AD5" s="715"/>
      <c r="AE5" s="507"/>
      <c r="AF5" s="507"/>
      <c r="AG5" s="507"/>
      <c r="AH5" s="507"/>
      <c r="AI5" s="504"/>
      <c r="AJ5" s="527"/>
      <c r="AK5" s="527"/>
      <c r="AL5" s="527"/>
      <c r="AM5" s="527"/>
      <c r="AN5" s="527"/>
      <c r="AO5" s="527"/>
      <c r="AP5" s="527"/>
      <c r="AQ5" s="527"/>
      <c r="AR5" s="527"/>
      <c r="AS5" s="527"/>
      <c r="AT5" s="774">
        <v>17</v>
      </c>
    </row>
    <row s="1628" customFormat="1" customHeight="1" ht="11.549999999999999">
      <c r="A6" s="495"/>
      <c r="C6" s="502"/>
      <c r="D6" s="501"/>
      <c r="E6" s="501"/>
      <c r="F6" s="501"/>
      <c r="G6" s="501"/>
      <c r="H6" s="501"/>
      <c r="I6" s="501"/>
      <c r="J6" s="501"/>
      <c r="K6" s="501"/>
      <c r="L6" s="501"/>
      <c r="M6" s="501"/>
      <c r="N6" s="501"/>
      <c r="O6" s="501"/>
      <c r="P6" s="501"/>
      <c r="Q6" s="501"/>
      <c r="R6" s="768"/>
      <c r="S6" s="768"/>
      <c r="T6" s="501"/>
      <c r="U6" s="501"/>
      <c r="V6" s="728"/>
      <c r="W6" s="728"/>
      <c r="X6" s="501"/>
      <c r="Y6" s="501"/>
      <c r="Z6" s="728"/>
      <c r="AA6" s="728"/>
      <c r="AB6" s="501"/>
      <c r="AC6" s="728"/>
      <c r="AD6" s="728"/>
      <c r="AE6" s="501"/>
      <c r="AF6" s="501"/>
      <c r="AG6" s="501"/>
      <c r="AH6" s="501"/>
      <c r="AJ6" s="505"/>
      <c r="AK6" s="505"/>
      <c r="AL6" s="505"/>
      <c r="AM6" s="505"/>
      <c r="AN6" s="505"/>
      <c r="AO6" s="505"/>
      <c r="AP6" s="505"/>
      <c r="AQ6" s="505"/>
      <c r="AR6" s="505"/>
      <c r="AS6" s="505"/>
      <c r="AT6" s="496">
        <v>11</v>
      </c>
    </row>
    <row customHeight="1" ht="14.699999999999998">
      <c r="C7" s="466"/>
      <c r="D7" s="2234" t="s">
        <v>453</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39" t="s">
        <v>454</v>
      </c>
      <c r="AF7" s="2239" t="s">
        <v>454</v>
      </c>
      <c r="AG7" s="2239" t="s">
        <v>454</v>
      </c>
      <c r="AH7" s="2239" t="s">
        <v>454</v>
      </c>
      <c r="AT7" s="463">
        <v>14</v>
      </c>
    </row>
    <row customHeight="1" ht="27.299999999999997">
      <c r="C8" s="466"/>
      <c r="D8" s="2143" t="s">
        <v>91</v>
      </c>
      <c r="E8" s="2239" t="str">
        <f>"Наименование "&amp;IF(TEMPLATE_SPHERE&lt;&gt;"HEAT","централизованной ","")&amp;"системы "&amp;TEMPLATE_SPHERE_RUS</f>
        <v>Наименование системы теплоснабжения</v>
      </c>
      <c r="F8" s="2239" t="str">
        <f>IF(TEMPLATE_SPHERE&lt;&gt;"HEAT","Регулируемый вид деятельности","Вид регулируемой деятельности")</f>
        <v>Вид регулируемой деятельности</v>
      </c>
      <c r="G8" s="844"/>
      <c r="H8" s="2240" t="s">
        <v>510</v>
      </c>
      <c r="I8" s="2242" t="s">
        <v>511</v>
      </c>
      <c r="J8" s="2239" t="s">
        <v>512</v>
      </c>
      <c r="K8" s="2239"/>
      <c r="L8" s="2239"/>
      <c r="M8" s="2234"/>
      <c r="N8" s="2239" t="s">
        <v>513</v>
      </c>
      <c r="O8" s="2239"/>
      <c r="P8" s="2239" t="s">
        <v>514</v>
      </c>
      <c r="Q8" s="2239"/>
      <c r="R8" s="2246" t="s">
        <v>515</v>
      </c>
      <c r="S8" s="840"/>
      <c r="T8" s="2244" t="s">
        <v>516</v>
      </c>
      <c r="U8" s="2244" t="s">
        <v>517</v>
      </c>
      <c r="V8" s="2244" t="s">
        <v>518</v>
      </c>
      <c r="W8" s="842"/>
      <c r="X8" s="2244" t="s">
        <v>519</v>
      </c>
      <c r="Y8" s="2244" t="s">
        <v>520</v>
      </c>
      <c r="Z8" s="2244" t="s">
        <v>521</v>
      </c>
      <c r="AA8" s="842"/>
      <c r="AB8" s="2244" t="s">
        <v>522</v>
      </c>
      <c r="AC8" s="2244" t="s">
        <v>515</v>
      </c>
      <c r="AD8" s="842"/>
      <c r="AE8" s="2239"/>
      <c r="AF8" s="2239"/>
      <c r="AG8" s="2239"/>
      <c r="AH8" s="2239"/>
      <c r="AT8" s="463">
        <v>26</v>
      </c>
    </row>
    <row customHeight="1" ht="46.199999999999996">
      <c r="C9" s="466"/>
      <c r="D9" s="2143"/>
      <c r="E9" s="2239"/>
      <c r="F9" s="2239"/>
      <c r="G9" s="845"/>
      <c r="H9" s="2241"/>
      <c r="I9" s="2243"/>
      <c r="J9" s="441" t="s">
        <v>523</v>
      </c>
      <c r="K9" s="441" t="s">
        <v>524</v>
      </c>
      <c r="L9" s="441" t="s">
        <v>525</v>
      </c>
      <c r="M9" s="447" t="s">
        <v>526</v>
      </c>
      <c r="N9" s="441" t="s">
        <v>527</v>
      </c>
      <c r="O9" s="441" t="s">
        <v>526</v>
      </c>
      <c r="P9" s="441" t="s">
        <v>528</v>
      </c>
      <c r="Q9" s="441" t="s">
        <v>526</v>
      </c>
      <c r="R9" s="2247"/>
      <c r="S9" s="841"/>
      <c r="T9" s="2245"/>
      <c r="U9" s="2245"/>
      <c r="V9" s="2245"/>
      <c r="W9" s="843"/>
      <c r="X9" s="2245"/>
      <c r="Y9" s="2245"/>
      <c r="Z9" s="2245"/>
      <c r="AA9" s="843"/>
      <c r="AB9" s="2245"/>
      <c r="AC9" s="2245"/>
      <c r="AD9" s="843"/>
      <c r="AE9" s="2239"/>
      <c r="AF9" s="2239"/>
      <c r="AG9" s="2239"/>
      <c r="AH9" s="2239"/>
      <c r="AT9" s="463">
        <v>44</v>
      </c>
    </row>
    <row customHeight="1" ht="12" hidden="1">
      <c r="C10" s="503"/>
      <c r="D10" s="464"/>
      <c r="E10" s="464"/>
      <c r="F10" s="464"/>
      <c r="G10" s="464"/>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3"/>
      <c r="AP10" s="516"/>
      <c r="AQ10" s="516"/>
      <c r="AT10" s="463">
        <v>0</v>
      </c>
    </row>
    <row s="1657" customFormat="1" customHeight="1" ht="11.25" hidden="1">
      <c r="C11" s="514"/>
      <c r="D11" s="515" t="s">
        <v>529</v>
      </c>
      <c r="E11" s="515"/>
      <c r="F11" s="515"/>
      <c r="G11" s="515"/>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451"/>
      <c r="AF11" s="451"/>
      <c r="AG11" s="451"/>
      <c r="AH11" s="451"/>
      <c r="AJ11" s="505"/>
      <c r="AK11" s="505"/>
      <c r="AL11" s="505"/>
      <c r="AM11" s="505"/>
      <c r="AN11" s="505"/>
      <c r="AO11" s="505"/>
      <c r="AP11" s="505"/>
      <c r="AQ11" s="505"/>
      <c r="AR11" s="505"/>
      <c r="AS11" s="505"/>
      <c r="AT11" s="512">
        <v>0</v>
      </c>
    </row>
    <row customHeight="1" ht="14.699999999999998">
      <c r="A12" s="463"/>
      <c r="C12" s="466"/>
      <c r="D12" s="450" t="s">
        <v>141</v>
      </c>
      <c r="E12" s="1793" t="s">
        <v>28</v>
      </c>
      <c r="F12" s="871"/>
      <c r="G12" s="872"/>
      <c r="H12" s="1794"/>
      <c r="I12" s="1794"/>
      <c r="J12" s="449"/>
      <c r="K12" s="1879"/>
      <c r="L12" s="448"/>
      <c r="M12" s="1879"/>
      <c r="N12" s="449"/>
      <c r="O12" s="1879"/>
      <c r="P12" s="449"/>
      <c r="Q12" s="1879"/>
      <c r="R12" s="449"/>
      <c r="S12" s="870"/>
      <c r="T12" s="1794"/>
      <c r="U12" s="449"/>
      <c r="V12" s="449"/>
      <c r="W12" s="843"/>
      <c r="X12" s="1794"/>
      <c r="Y12" s="449"/>
      <c r="Z12" s="449"/>
      <c r="AA12" s="843"/>
      <c r="AB12" s="1794"/>
      <c r="AC12" s="449"/>
      <c r="AD12" s="843"/>
      <c r="AE12" s="2237" t="s">
        <v>530</v>
      </c>
      <c r="AF12" s="2237" t="s">
        <v>531</v>
      </c>
      <c r="AG12" s="2237" t="s">
        <v>532</v>
      </c>
      <c r="AH12" s="2237" t="s">
        <v>533</v>
      </c>
      <c r="AI12" s="463"/>
      <c r="AM12" s="527"/>
      <c r="AP12" s="516" t="s">
        <v>534</v>
      </c>
      <c r="AQ12" s="516" t="s">
        <v>534</v>
      </c>
      <c r="AT12" s="463">
        <v>14</v>
      </c>
    </row>
    <row customHeight="1" ht="18">
      <c r="A13" s="463"/>
      <c r="C13" s="466"/>
      <c r="D13" s="421"/>
      <c r="E13" s="885" t="str">
        <f>IF(TITLE_DIFFERENTIATION_TYPE="нет","","Добавить систему")</f>
        <v/>
      </c>
      <c r="F13" s="885" t="str">
        <f>IF(TITLE_DIFFERENTIATION_TYPE="нет","Добавить вид деятельности","")</f>
        <v>Добавить вид деятельности</v>
      </c>
      <c r="G13" s="329"/>
      <c r="H13" s="422"/>
      <c r="I13" s="422"/>
      <c r="J13" s="422"/>
      <c r="K13" s="422"/>
      <c r="L13" s="422"/>
      <c r="M13" s="422"/>
      <c r="N13" s="422"/>
      <c r="O13" s="422"/>
      <c r="P13" s="422"/>
      <c r="Q13" s="422"/>
      <c r="R13" s="422"/>
      <c r="S13" s="422"/>
      <c r="T13" s="422"/>
      <c r="U13" s="422"/>
      <c r="V13" s="422"/>
      <c r="W13" s="422"/>
      <c r="X13" s="422"/>
      <c r="Y13" s="422"/>
      <c r="Z13" s="422"/>
      <c r="AA13" s="422"/>
      <c r="AB13" s="422"/>
      <c r="AC13" s="422"/>
      <c r="AD13" s="873"/>
      <c r="AE13" s="2238"/>
      <c r="AF13" s="2238"/>
      <c r="AG13" s="2238"/>
      <c r="AH13" s="2238"/>
      <c r="AI13" s="463"/>
      <c r="AT13" s="463">
        <v>17</v>
      </c>
    </row>
    <row customHeight="1" ht="14.699999999999998">
      <c r="AI14" s="463"/>
      <c r="AT14" s="463">
        <v>14</v>
      </c>
    </row>
    <row customHeight="1" ht="14.699999999999998">
      <c r="E15" s="774"/>
      <c r="L15" s="774"/>
      <c r="AT15" s="463">
        <v>14</v>
      </c>
    </row>
    <row customHeight="1" ht="14.699999999999998">
      <c r="L16" s="774"/>
      <c r="AT16" s="463">
        <v>14</v>
      </c>
    </row>
    <row customHeight="1" ht="14.699999999999998">
      <c r="L17" s="774"/>
      <c r="AT17" s="463">
        <v>14</v>
      </c>
    </row>
    <row customHeight="1" ht="22.5" hidden="1">
      <c r="A18" s="465" t="s">
        <v>85</v>
      </c>
      <c r="B18" s="463">
        <v>0</v>
      </c>
      <c r="C18" s="467">
        <v>3</v>
      </c>
      <c r="D18" s="463">
        <v>5</v>
      </c>
      <c r="E18" s="463">
        <v>48</v>
      </c>
      <c r="F18" s="463">
        <v>38</v>
      </c>
      <c r="G18" s="774">
        <v>0</v>
      </c>
      <c r="H18" s="463">
        <v>0</v>
      </c>
      <c r="I18" s="463">
        <v>0</v>
      </c>
      <c r="J18" s="463">
        <v>0</v>
      </c>
      <c r="K18" s="463">
        <v>0</v>
      </c>
      <c r="L18" s="463">
        <v>0</v>
      </c>
      <c r="M18" s="463">
        <v>0</v>
      </c>
      <c r="N18" s="463">
        <v>0</v>
      </c>
      <c r="O18" s="463">
        <v>0</v>
      </c>
      <c r="P18" s="463">
        <v>0</v>
      </c>
      <c r="Q18" s="463">
        <v>0</v>
      </c>
      <c r="R18" s="463">
        <v>0</v>
      </c>
      <c r="S18" s="774">
        <v>0</v>
      </c>
      <c r="T18" s="521">
        <v>0</v>
      </c>
      <c r="U18" s="521">
        <v>0</v>
      </c>
      <c r="V18" s="521">
        <v>0</v>
      </c>
      <c r="W18" s="774">
        <v>0</v>
      </c>
      <c r="X18" s="521">
        <v>0</v>
      </c>
      <c r="Y18" s="521">
        <v>0</v>
      </c>
      <c r="Z18" s="521">
        <v>0</v>
      </c>
      <c r="AA18" s="774">
        <v>0</v>
      </c>
      <c r="AB18" s="521">
        <v>0</v>
      </c>
      <c r="AC18" s="521">
        <v>0</v>
      </c>
      <c r="AD18" s="774">
        <v>0</v>
      </c>
      <c r="AE18" s="463">
        <v>0</v>
      </c>
      <c r="AF18" s="521">
        <v>0</v>
      </c>
      <c r="AG18" s="521">
        <v>0</v>
      </c>
      <c r="AH18" s="521">
        <v>0</v>
      </c>
      <c r="AI18" s="468">
        <v>3</v>
      </c>
      <c r="AJ18" s="505">
        <v>10</v>
      </c>
      <c r="AK18" s="505">
        <v>10</v>
      </c>
      <c r="AL18" s="505">
        <v>10</v>
      </c>
      <c r="AM18" s="505">
        <v>0</v>
      </c>
      <c r="AN18" s="505">
        <v>15</v>
      </c>
      <c r="AO18" s="505">
        <v>16</v>
      </c>
      <c r="AP18" s="505">
        <v>10</v>
      </c>
      <c r="AQ18" s="505">
        <v>10</v>
      </c>
      <c r="AR18" s="505">
        <v>10</v>
      </c>
      <c r="AS18" s="505">
        <v>10</v>
      </c>
      <c r="AT18" s="46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89EE9-6182-D78B-F2C9-92742B3112B7}" mc:Ignorable="x14ac xr xr2 xr3">
  <sheetPr>
    <tabColor rgb="FFFFCC99"/>
  </sheetPr>
  <dimension ref="A1:B17"/>
  <sheetViews>
    <sheetView topLeftCell="A1" showGridLines="0" workbookViewId="0">
      <selection activeCell="A1" sqref="A1"/>
    </sheetView>
  </sheetViews>
  <sheetFormatPr defaultColWidth="9.140625" customHeight="1" defaultRowHeight="11.25"/>
  <cols>
    <col min="1" max="2" style="199" width="9.140625"/>
  </cols>
  <sheetData>
    <row customHeight="1" ht="11.25">
      <c r="A1" s="199" t="s">
        <v>199</v>
      </c>
      <c r="B1" s="199" t="s">
        <v>3617</v>
      </c>
    </row>
    <row customHeight="1" ht="11.25">
      <c r="A2" s="199" t="s">
        <v>101</v>
      </c>
      <c r="B2" s="199" t="s">
        <v>3618</v>
      </c>
    </row>
    <row customHeight="1" ht="11.25">
      <c r="A3" s="199" t="s">
        <v>109</v>
      </c>
      <c r="B3" s="199" t="s">
        <v>3619</v>
      </c>
    </row>
    <row customHeight="1" ht="11.25">
      <c r="A4" s="199" t="s">
        <v>113</v>
      </c>
      <c r="B4" s="199" t="s">
        <v>3620</v>
      </c>
    </row>
    <row customHeight="1" ht="11.25">
      <c r="A5" s="199" t="s">
        <v>117</v>
      </c>
      <c r="B5" s="199" t="s">
        <v>3621</v>
      </c>
    </row>
    <row customHeight="1" ht="11.25">
      <c r="A6" s="199" t="s">
        <v>123</v>
      </c>
      <c r="B6" s="199" t="s">
        <v>3622</v>
      </c>
    </row>
    <row customHeight="1" ht="11.25">
      <c r="A7" s="199" t="s">
        <v>127</v>
      </c>
      <c r="B7" s="199" t="s">
        <v>3623</v>
      </c>
    </row>
    <row customHeight="1" ht="11.25">
      <c r="A8" s="199" t="s">
        <v>131</v>
      </c>
      <c r="B8" s="199" t="s">
        <v>3624</v>
      </c>
    </row>
    <row customHeight="1" ht="11.25">
      <c r="A9" s="199" t="s">
        <v>135</v>
      </c>
      <c r="B9" s="199" t="s">
        <v>3625</v>
      </c>
    </row>
    <row customHeight="1" ht="11.25">
      <c r="A10" s="199" t="s">
        <v>140</v>
      </c>
      <c r="B10" s="199" t="s">
        <v>3626</v>
      </c>
    </row>
    <row customHeight="1" ht="11.25">
      <c r="A11" s="199" t="s">
        <v>145</v>
      </c>
      <c r="B11" s="199" t="s">
        <v>3627</v>
      </c>
    </row>
    <row customHeight="1" ht="11.25">
      <c r="A12" s="199" t="s">
        <v>151</v>
      </c>
      <c r="B12" s="199" t="s">
        <v>3628</v>
      </c>
    </row>
    <row customHeight="1" ht="11.25">
      <c r="A13" s="199" t="s">
        <v>153</v>
      </c>
      <c r="B13" s="199" t="s">
        <v>3629</v>
      </c>
    </row>
    <row customHeight="1" ht="11.25">
      <c r="A14" s="199" t="s">
        <v>159</v>
      </c>
      <c r="B14" s="199" t="s">
        <v>3630</v>
      </c>
    </row>
    <row customHeight="1" ht="11.25">
      <c r="A15" s="199" t="s">
        <v>163</v>
      </c>
      <c r="B15" s="199" t="s">
        <v>3631</v>
      </c>
    </row>
    <row customHeight="1" ht="11.25">
      <c r="A16" s="199" t="s">
        <v>168</v>
      </c>
      <c r="B16" s="199" t="s">
        <v>3632</v>
      </c>
    </row>
    <row customHeight="1" ht="11.25">
      <c r="A17" s="199" t="s">
        <v>172</v>
      </c>
      <c r="B17" s="199" t="s">
        <v>3633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BB89A-3A66-8CA6-E2BA-89D3734175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7" width="9.140625"/>
    <col min="2" max="2" style="1707" width="65.28125" customWidth="1"/>
  </cols>
  <sheetData>
    <row customHeight="1" ht="11.25">
      <c r="A1" s="851" t="s">
        <v>3634</v>
      </c>
      <c r="B1" s="851" t="s">
        <v>3635</v>
      </c>
    </row>
    <row customHeight="1" ht="11.25">
      <c r="A2" s="851">
        <v>4213775</v>
      </c>
      <c r="B2" s="851" t="s">
        <v>1378</v>
      </c>
    </row>
    <row customHeight="1" ht="11.25">
      <c r="A3" s="851">
        <v>4213784</v>
      </c>
      <c r="B3" s="851" t="s">
        <v>1411</v>
      </c>
    </row>
    <row customHeight="1" ht="11.25">
      <c r="A4" s="851">
        <v>4213781</v>
      </c>
      <c r="B4" s="851" t="s">
        <v>1404</v>
      </c>
    </row>
    <row customHeight="1" ht="11.25">
      <c r="A5" s="851">
        <v>4213776</v>
      </c>
      <c r="B5" s="851" t="s">
        <v>229</v>
      </c>
    </row>
    <row customHeight="1" ht="11.25">
      <c r="A6" s="851">
        <v>4213777</v>
      </c>
      <c r="B6" s="851" t="s">
        <v>235</v>
      </c>
    </row>
    <row customHeight="1" ht="11.25">
      <c r="A7" s="851">
        <v>4213778</v>
      </c>
      <c r="B7" s="851" t="s">
        <v>241</v>
      </c>
    </row>
    <row customHeight="1" ht="11.25">
      <c r="A8" s="851">
        <v>4213780</v>
      </c>
      <c r="B8" s="851" t="s">
        <v>247</v>
      </c>
    </row>
    <row customHeight="1" ht="11.25">
      <c r="A9" s="851">
        <v>4213779</v>
      </c>
      <c r="B9" s="851" t="s">
        <v>1544</v>
      </c>
    </row>
    <row customHeight="1" ht="11.25">
      <c r="A10" s="851">
        <v>4213783</v>
      </c>
      <c r="B10" s="851" t="s">
        <v>1559</v>
      </c>
    </row>
    <row customHeight="1" ht="11.25">
      <c r="A11" s="851">
        <v>4213782</v>
      </c>
      <c r="B11" s="851" t="s">
        <v>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6B69D-3674-EAEE-8C8E-479EADC562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7" width="9.140625"/>
    <col min="2" max="2" style="1707" width="65.28125" customWidth="1"/>
  </cols>
  <sheetData>
    <row customHeight="1" ht="11.25">
      <c r="A1" s="851" t="s">
        <v>3634</v>
      </c>
      <c r="B1" s="851" t="s">
        <v>3636</v>
      </c>
    </row>
    <row customHeight="1" ht="11.25">
      <c r="A2" s="851" t="s">
        <v>3637</v>
      </c>
      <c r="B2" s="851" t="s">
        <v>1654</v>
      </c>
    </row>
    <row customHeight="1" ht="11.25">
      <c r="A3" s="851" t="s">
        <v>3638</v>
      </c>
      <c r="B3" s="851" t="s">
        <v>1663</v>
      </c>
    </row>
    <row customHeight="1" ht="11.25">
      <c r="A4" s="851" t="s">
        <v>3639</v>
      </c>
      <c r="B4" s="851" t="s">
        <v>1672</v>
      </c>
    </row>
    <row customHeight="1" ht="11.25">
      <c r="A5" s="851" t="s">
        <v>3640</v>
      </c>
      <c r="B5" s="851" t="s">
        <v>1681</v>
      </c>
    </row>
    <row customHeight="1" ht="11.25">
      <c r="A6" s="851" t="s">
        <v>3641</v>
      </c>
      <c r="B6" s="851" t="s">
        <v>1687</v>
      </c>
    </row>
    <row customHeight="1" ht="11.25">
      <c r="A7" s="851" t="s">
        <v>3642</v>
      </c>
      <c r="B7" s="851" t="s">
        <v>1695</v>
      </c>
    </row>
    <row customHeight="1" ht="11.25">
      <c r="A8" s="851" t="s">
        <v>3643</v>
      </c>
      <c r="B8" s="851" t="s">
        <v>1702</v>
      </c>
    </row>
    <row customHeight="1" ht="11.25">
      <c r="A9" s="851" t="s">
        <v>3644</v>
      </c>
      <c r="B9" s="851" t="s">
        <v>1708</v>
      </c>
    </row>
    <row customHeight="1" ht="11.25">
      <c r="A10" s="851" t="s">
        <v>3645</v>
      </c>
      <c r="B10" s="851" t="s">
        <v>1711</v>
      </c>
    </row>
    <row customHeight="1" ht="11.25">
      <c r="A11" s="851" t="s">
        <v>3646</v>
      </c>
      <c r="B11" s="851" t="s">
        <v>1718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F6EB5-0A38-B795-81C1-DFE7E4AF0F8A}"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89" t="s">
        <v>3336</v>
      </c>
      <c r="B1" s="389" t="s">
        <v>3337</v>
      </c>
      <c r="C1" s="389" t="s">
        <v>3338</v>
      </c>
      <c r="D1" s="389" t="s">
        <v>3339</v>
      </c>
      <c r="E1" s="0" t="s">
        <v>3340</v>
      </c>
      <c r="F1" s="0" t="s">
        <v>3341</v>
      </c>
      <c r="G1" s="0" t="s">
        <v>3342</v>
      </c>
    </row>
    <row customHeight="1" ht="11.25">
      <c r="A2" s="0" t="s">
        <v>16</v>
      </c>
      <c r="B2" s="0" t="s">
        <v>142</v>
      </c>
      <c r="C2" s="0" t="s">
        <v>143</v>
      </c>
      <c r="D2" s="0" t="s">
        <v>142</v>
      </c>
      <c r="E2" s="0" t="s">
        <v>143</v>
      </c>
      <c r="F2" s="0" t="s">
        <v>3343</v>
      </c>
      <c r="G2" s="0" t="s">
        <v>141</v>
      </c>
    </row>
    <row customHeight="1" ht="11.25">
      <c r="A3" s="0" t="s">
        <v>16</v>
      </c>
      <c r="B3" s="0" t="s">
        <v>160</v>
      </c>
      <c r="C3" s="0" t="s">
        <v>161</v>
      </c>
      <c r="D3" s="0" t="s">
        <v>160</v>
      </c>
      <c r="E3" s="0" t="s">
        <v>161</v>
      </c>
      <c r="F3" s="0" t="s">
        <v>3344</v>
      </c>
      <c r="G3" s="0" t="s">
        <v>107</v>
      </c>
    </row>
    <row customHeight="1" ht="11.25">
      <c r="A4" s="0" t="s">
        <v>16</v>
      </c>
      <c r="B4" s="0" t="s">
        <v>3345</v>
      </c>
      <c r="C4" s="0" t="s">
        <v>3346</v>
      </c>
      <c r="D4" s="0" t="s">
        <v>3345</v>
      </c>
      <c r="E4" s="0" t="s">
        <v>3346</v>
      </c>
      <c r="F4" s="0" t="s">
        <v>3344</v>
      </c>
      <c r="G4" s="0" t="s">
        <v>93</v>
      </c>
    </row>
    <row customHeight="1" ht="11.25">
      <c r="A5" s="0" t="s">
        <v>16</v>
      </c>
      <c r="B5" s="0" t="s">
        <v>3347</v>
      </c>
      <c r="C5" s="0" t="s">
        <v>3348</v>
      </c>
      <c r="D5" s="0" t="s">
        <v>3347</v>
      </c>
      <c r="E5" s="0" t="s">
        <v>3348</v>
      </c>
      <c r="F5" s="0" t="s">
        <v>3344</v>
      </c>
      <c r="G5" s="0" t="s">
        <v>94</v>
      </c>
    </row>
    <row customHeight="1" ht="11.25">
      <c r="A6" s="0" t="s">
        <v>16</v>
      </c>
      <c r="B6" s="0" t="s">
        <v>3349</v>
      </c>
      <c r="C6" s="0" t="s">
        <v>3350</v>
      </c>
      <c r="D6" s="0" t="s">
        <v>3349</v>
      </c>
      <c r="E6" s="0" t="s">
        <v>3350</v>
      </c>
      <c r="F6" s="0" t="s">
        <v>3344</v>
      </c>
      <c r="G6" s="0" t="s">
        <v>122</v>
      </c>
    </row>
    <row customHeight="1" ht="11.25">
      <c r="A7" s="0" t="s">
        <v>16</v>
      </c>
      <c r="B7" s="0" t="s">
        <v>3351</v>
      </c>
      <c r="C7" s="0" t="s">
        <v>3352</v>
      </c>
      <c r="D7" s="0" t="s">
        <v>3351</v>
      </c>
      <c r="E7" s="0" t="s">
        <v>3352</v>
      </c>
      <c r="F7" s="0" t="s">
        <v>3344</v>
      </c>
      <c r="G7" s="0" t="s">
        <v>95</v>
      </c>
    </row>
    <row customHeight="1" ht="11.25">
      <c r="A8" s="0" t="s">
        <v>16</v>
      </c>
      <c r="B8" s="0" t="s">
        <v>3353</v>
      </c>
      <c r="C8" s="0" t="s">
        <v>3354</v>
      </c>
      <c r="D8" s="0" t="s">
        <v>3353</v>
      </c>
      <c r="E8" s="0" t="s">
        <v>3354</v>
      </c>
      <c r="F8" s="0" t="s">
        <v>3344</v>
      </c>
      <c r="G8" s="0" t="s">
        <v>96</v>
      </c>
    </row>
    <row customHeight="1" ht="11.25">
      <c r="A9" s="0" t="s">
        <v>16</v>
      </c>
      <c r="B9" s="0" t="s">
        <v>3355</v>
      </c>
      <c r="C9" s="0" t="s">
        <v>3356</v>
      </c>
      <c r="D9" s="0" t="s">
        <v>3357</v>
      </c>
      <c r="E9" s="0" t="s">
        <v>3358</v>
      </c>
      <c r="F9" s="0" t="s">
        <v>3359</v>
      </c>
      <c r="G9" s="0" t="s">
        <v>134</v>
      </c>
    </row>
    <row customHeight="1" ht="11.25">
      <c r="A10" s="0" t="s">
        <v>16</v>
      </c>
      <c r="B10" s="0" t="s">
        <v>3355</v>
      </c>
      <c r="C10" s="0" t="s">
        <v>3356</v>
      </c>
      <c r="D10" s="0" t="s">
        <v>3355</v>
      </c>
      <c r="E10" s="0" t="s">
        <v>3356</v>
      </c>
      <c r="F10" s="0" t="s">
        <v>3360</v>
      </c>
      <c r="G10" s="0" t="s">
        <v>139</v>
      </c>
    </row>
    <row customHeight="1" ht="11.25">
      <c r="A11" s="0" t="s">
        <v>16</v>
      </c>
      <c r="B11" s="0" t="s">
        <v>3355</v>
      </c>
      <c r="C11" s="0" t="s">
        <v>3356</v>
      </c>
      <c r="D11" s="0" t="s">
        <v>3361</v>
      </c>
      <c r="E11" s="0" t="s">
        <v>3362</v>
      </c>
      <c r="F11" s="0" t="s">
        <v>3359</v>
      </c>
      <c r="G11" s="0" t="s">
        <v>144</v>
      </c>
    </row>
    <row customHeight="1" ht="11.25">
      <c r="A12" s="0" t="s">
        <v>16</v>
      </c>
      <c r="B12" s="0" t="s">
        <v>3355</v>
      </c>
      <c r="C12" s="0" t="s">
        <v>3356</v>
      </c>
      <c r="D12" s="0" t="s">
        <v>3363</v>
      </c>
      <c r="E12" s="0" t="s">
        <v>3364</v>
      </c>
      <c r="F12" s="0" t="s">
        <v>3365</v>
      </c>
      <c r="G12" s="0" t="s">
        <v>150</v>
      </c>
    </row>
    <row customHeight="1" ht="11.25">
      <c r="A13" s="0" t="s">
        <v>16</v>
      </c>
      <c r="B13" s="0" t="s">
        <v>3355</v>
      </c>
      <c r="C13" s="0" t="s">
        <v>3356</v>
      </c>
      <c r="D13" s="0" t="s">
        <v>3366</v>
      </c>
      <c r="E13" s="0" t="s">
        <v>3367</v>
      </c>
      <c r="F13" s="0" t="s">
        <v>3359</v>
      </c>
      <c r="G13" s="0" t="s">
        <v>152</v>
      </c>
    </row>
    <row customHeight="1" ht="11.25">
      <c r="A14" s="0" t="s">
        <v>16</v>
      </c>
      <c r="B14" s="0" t="s">
        <v>3355</v>
      </c>
      <c r="C14" s="0" t="s">
        <v>3356</v>
      </c>
      <c r="D14" s="0" t="s">
        <v>3368</v>
      </c>
      <c r="E14" s="0" t="s">
        <v>3369</v>
      </c>
      <c r="F14" s="0" t="s">
        <v>3359</v>
      </c>
      <c r="G14" s="0" t="s">
        <v>158</v>
      </c>
    </row>
    <row customHeight="1" ht="11.25">
      <c r="A15" s="0" t="s">
        <v>16</v>
      </c>
      <c r="B15" s="0" t="s">
        <v>3355</v>
      </c>
      <c r="C15" s="0" t="s">
        <v>3356</v>
      </c>
      <c r="D15" s="0" t="s">
        <v>3370</v>
      </c>
      <c r="E15" s="0" t="s">
        <v>3371</v>
      </c>
      <c r="F15" s="0" t="s">
        <v>3359</v>
      </c>
      <c r="G15" s="0" t="s">
        <v>162</v>
      </c>
    </row>
    <row customHeight="1" ht="11.25">
      <c r="A16" s="0" t="s">
        <v>16</v>
      </c>
      <c r="B16" s="0" t="s">
        <v>3355</v>
      </c>
      <c r="C16" s="0" t="s">
        <v>3356</v>
      </c>
      <c r="D16" s="0" t="s">
        <v>3372</v>
      </c>
      <c r="E16" s="0" t="s">
        <v>3373</v>
      </c>
      <c r="F16" s="0" t="s">
        <v>3359</v>
      </c>
      <c r="G16" s="0" t="s">
        <v>167</v>
      </c>
    </row>
    <row customHeight="1" ht="11.25">
      <c r="A17" s="0" t="s">
        <v>16</v>
      </c>
      <c r="B17" s="0" t="s">
        <v>115</v>
      </c>
      <c r="C17" s="0" t="s">
        <v>116</v>
      </c>
      <c r="D17" s="0" t="s">
        <v>115</v>
      </c>
      <c r="E17" s="0" t="s">
        <v>116</v>
      </c>
      <c r="F17" s="0" t="s">
        <v>3343</v>
      </c>
      <c r="G17" s="0" t="s">
        <v>114</v>
      </c>
    </row>
    <row customHeight="1" ht="11.25">
      <c r="A18" s="0" t="s">
        <v>16</v>
      </c>
      <c r="B18" s="0" t="s">
        <v>103</v>
      </c>
      <c r="C18" s="0" t="s">
        <v>133</v>
      </c>
      <c r="D18" s="0" t="s">
        <v>3374</v>
      </c>
      <c r="E18" s="0" t="s">
        <v>3375</v>
      </c>
      <c r="F18" s="0" t="s">
        <v>3359</v>
      </c>
      <c r="G18" s="0" t="s">
        <v>1635</v>
      </c>
    </row>
    <row customHeight="1" ht="11.25">
      <c r="A19" s="0" t="s">
        <v>16</v>
      </c>
      <c r="B19" s="0" t="s">
        <v>103</v>
      </c>
      <c r="C19" s="0" t="s">
        <v>133</v>
      </c>
      <c r="D19" s="0" t="s">
        <v>103</v>
      </c>
      <c r="E19" s="0" t="s">
        <v>133</v>
      </c>
      <c r="F19" s="0" t="s">
        <v>3360</v>
      </c>
      <c r="G19" s="0" t="s">
        <v>132</v>
      </c>
    </row>
    <row customHeight="1" ht="11.25">
      <c r="A20" s="0" t="s">
        <v>16</v>
      </c>
      <c r="B20" s="0" t="s">
        <v>103</v>
      </c>
      <c r="C20" s="0" t="s">
        <v>133</v>
      </c>
      <c r="D20" s="0" t="s">
        <v>3377</v>
      </c>
      <c r="E20" s="0" t="s">
        <v>3378</v>
      </c>
      <c r="F20" s="0" t="s">
        <v>3376</v>
      </c>
      <c r="G20" s="0" t="s">
        <v>1668</v>
      </c>
    </row>
    <row customHeight="1" ht="11.25">
      <c r="A21" s="0" t="s">
        <v>16</v>
      </c>
      <c r="B21" s="0" t="s">
        <v>103</v>
      </c>
      <c r="C21" s="0" t="s">
        <v>133</v>
      </c>
      <c r="D21" s="0" t="s">
        <v>3379</v>
      </c>
      <c r="E21" s="0" t="s">
        <v>3380</v>
      </c>
      <c r="F21" s="0" t="s">
        <v>3359</v>
      </c>
      <c r="G21" s="0" t="s">
        <v>1684</v>
      </c>
    </row>
    <row customHeight="1" ht="11.25">
      <c r="A22" s="0" t="s">
        <v>16</v>
      </c>
      <c r="B22" s="0" t="s">
        <v>103</v>
      </c>
      <c r="C22" s="0" t="s">
        <v>133</v>
      </c>
      <c r="D22" s="0" t="s">
        <v>3381</v>
      </c>
      <c r="E22" s="0" t="s">
        <v>3382</v>
      </c>
      <c r="F22" s="0" t="s">
        <v>3365</v>
      </c>
      <c r="G22" s="0" t="s">
        <v>1691</v>
      </c>
    </row>
    <row customHeight="1" ht="11.25">
      <c r="A23" s="0" t="s">
        <v>16</v>
      </c>
      <c r="B23" s="0" t="s">
        <v>103</v>
      </c>
      <c r="C23" s="0" t="s">
        <v>133</v>
      </c>
      <c r="D23" s="0" t="s">
        <v>3383</v>
      </c>
      <c r="E23" s="0" t="s">
        <v>3384</v>
      </c>
      <c r="F23" s="0" t="s">
        <v>3359</v>
      </c>
      <c r="G23" s="0" t="s">
        <v>1699</v>
      </c>
    </row>
    <row customHeight="1" ht="11.25">
      <c r="A24" s="0" t="s">
        <v>16</v>
      </c>
      <c r="B24" s="0" t="s">
        <v>103</v>
      </c>
      <c r="C24" s="0" t="s">
        <v>133</v>
      </c>
      <c r="D24" s="0" t="s">
        <v>3385</v>
      </c>
      <c r="E24" s="0" t="s">
        <v>3386</v>
      </c>
      <c r="F24" s="0" t="s">
        <v>3359</v>
      </c>
      <c r="G24" s="0" t="s">
        <v>1706</v>
      </c>
    </row>
    <row customHeight="1" ht="11.25">
      <c r="A25" s="0" t="s">
        <v>16</v>
      </c>
      <c r="B25" s="0" t="s">
        <v>174</v>
      </c>
      <c r="C25" s="0" t="s">
        <v>175</v>
      </c>
      <c r="D25" s="0" t="s">
        <v>174</v>
      </c>
      <c r="E25" s="0" t="s">
        <v>175</v>
      </c>
      <c r="F25" s="0" t="s">
        <v>3343</v>
      </c>
      <c r="G25" s="0" t="s">
        <v>173</v>
      </c>
    </row>
    <row customHeight="1" ht="11.25">
      <c r="A26" s="0" t="s">
        <v>16</v>
      </c>
      <c r="B26" s="0" t="s">
        <v>119</v>
      </c>
      <c r="C26" s="0" t="s">
        <v>3387</v>
      </c>
      <c r="D26" s="0" t="s">
        <v>3388</v>
      </c>
      <c r="E26" s="0" t="s">
        <v>3389</v>
      </c>
      <c r="F26" s="0" t="s">
        <v>3376</v>
      </c>
      <c r="G26" s="0" t="s">
        <v>1714</v>
      </c>
    </row>
    <row customHeight="1" ht="11.25">
      <c r="A27" s="0" t="s">
        <v>16</v>
      </c>
      <c r="B27" s="0" t="s">
        <v>119</v>
      </c>
      <c r="C27" s="0" t="s">
        <v>3387</v>
      </c>
      <c r="D27" s="0" t="s">
        <v>3390</v>
      </c>
      <c r="E27" s="0" t="s">
        <v>3391</v>
      </c>
      <c r="F27" s="0" t="s">
        <v>3359</v>
      </c>
      <c r="G27" s="0" t="s">
        <v>1722</v>
      </c>
    </row>
    <row customHeight="1" ht="11.25">
      <c r="A28" s="0" t="s">
        <v>16</v>
      </c>
      <c r="B28" s="0" t="s">
        <v>119</v>
      </c>
      <c r="C28" s="0" t="s">
        <v>3387</v>
      </c>
      <c r="D28" s="0" t="s">
        <v>3392</v>
      </c>
      <c r="E28" s="0" t="s">
        <v>3393</v>
      </c>
      <c r="F28" s="0" t="s">
        <v>3359</v>
      </c>
      <c r="G28" s="0" t="s">
        <v>1724</v>
      </c>
    </row>
    <row customHeight="1" ht="11.25">
      <c r="A29" s="0" t="s">
        <v>16</v>
      </c>
      <c r="B29" s="0" t="s">
        <v>119</v>
      </c>
      <c r="C29" s="0" t="s">
        <v>3387</v>
      </c>
      <c r="D29" s="0" t="s">
        <v>3394</v>
      </c>
      <c r="E29" s="0" t="s">
        <v>3395</v>
      </c>
      <c r="F29" s="0" t="s">
        <v>3359</v>
      </c>
      <c r="G29" s="0" t="s">
        <v>1727</v>
      </c>
    </row>
    <row customHeight="1" ht="11.25">
      <c r="A30" s="0" t="s">
        <v>16</v>
      </c>
      <c r="B30" s="0" t="s">
        <v>119</v>
      </c>
      <c r="C30" s="0" t="s">
        <v>3387</v>
      </c>
      <c r="D30" s="0" t="s">
        <v>3396</v>
      </c>
      <c r="E30" s="0" t="s">
        <v>3397</v>
      </c>
      <c r="F30" s="0" t="s">
        <v>3359</v>
      </c>
      <c r="G30" s="0" t="s">
        <v>1733</v>
      </c>
    </row>
    <row customHeight="1" ht="11.25">
      <c r="A31" s="0" t="s">
        <v>16</v>
      </c>
      <c r="B31" s="0" t="s">
        <v>119</v>
      </c>
      <c r="C31" s="0" t="s">
        <v>3387</v>
      </c>
      <c r="D31" s="0" t="s">
        <v>119</v>
      </c>
      <c r="E31" s="0" t="s">
        <v>3387</v>
      </c>
      <c r="F31" s="0" t="s">
        <v>3360</v>
      </c>
      <c r="G31" s="0" t="s">
        <v>1735</v>
      </c>
    </row>
    <row customHeight="1" ht="11.25">
      <c r="A32" s="0" t="s">
        <v>16</v>
      </c>
      <c r="B32" s="0" t="s">
        <v>119</v>
      </c>
      <c r="C32" s="0" t="s">
        <v>3387</v>
      </c>
      <c r="D32" s="0" t="s">
        <v>3398</v>
      </c>
      <c r="E32" s="0" t="s">
        <v>3399</v>
      </c>
      <c r="F32" s="0" t="s">
        <v>3359</v>
      </c>
      <c r="G32" s="0" t="s">
        <v>1737</v>
      </c>
    </row>
    <row customHeight="1" ht="11.25">
      <c r="A33" s="0" t="s">
        <v>16</v>
      </c>
      <c r="B33" s="0" t="s">
        <v>119</v>
      </c>
      <c r="C33" s="0" t="s">
        <v>3387</v>
      </c>
      <c r="D33" s="0" t="s">
        <v>3400</v>
      </c>
      <c r="E33" s="0" t="s">
        <v>3401</v>
      </c>
      <c r="F33" s="0" t="s">
        <v>3359</v>
      </c>
      <c r="G33" s="0" t="s">
        <v>1739</v>
      </c>
    </row>
    <row customHeight="1" ht="11.25">
      <c r="A34" s="0" t="s">
        <v>16</v>
      </c>
      <c r="B34" s="0" t="s">
        <v>119</v>
      </c>
      <c r="C34" s="0" t="s">
        <v>3387</v>
      </c>
      <c r="D34" s="0" t="s">
        <v>3402</v>
      </c>
      <c r="E34" s="0" t="s">
        <v>3403</v>
      </c>
      <c r="F34" s="0" t="s">
        <v>3359</v>
      </c>
      <c r="G34" s="0" t="s">
        <v>1744</v>
      </c>
    </row>
    <row customHeight="1" ht="11.25">
      <c r="A35" s="0" t="s">
        <v>16</v>
      </c>
      <c r="B35" s="0" t="s">
        <v>119</v>
      </c>
      <c r="C35" s="0" t="s">
        <v>3387</v>
      </c>
      <c r="D35" s="0" t="s">
        <v>120</v>
      </c>
      <c r="E35" s="0" t="s">
        <v>121</v>
      </c>
      <c r="F35" s="0" t="s">
        <v>3359</v>
      </c>
      <c r="G35" s="0" t="s">
        <v>118</v>
      </c>
    </row>
    <row customHeight="1" ht="11.25">
      <c r="A36" s="0" t="s">
        <v>16</v>
      </c>
      <c r="B36" s="0" t="s">
        <v>119</v>
      </c>
      <c r="C36" s="0" t="s">
        <v>3387</v>
      </c>
      <c r="D36" s="0" t="s">
        <v>3404</v>
      </c>
      <c r="E36" s="0" t="s">
        <v>3405</v>
      </c>
      <c r="F36" s="0" t="s">
        <v>3359</v>
      </c>
      <c r="G36" s="0" t="s">
        <v>1752</v>
      </c>
    </row>
    <row customHeight="1" ht="11.25">
      <c r="A37" s="0" t="s">
        <v>16</v>
      </c>
      <c r="B37" s="0" t="s">
        <v>3406</v>
      </c>
      <c r="C37" s="0" t="s">
        <v>3407</v>
      </c>
      <c r="D37" s="0" t="s">
        <v>3406</v>
      </c>
      <c r="E37" s="0" t="s">
        <v>3407</v>
      </c>
      <c r="F37" s="0" t="s">
        <v>3343</v>
      </c>
      <c r="G37" s="0" t="s">
        <v>1760</v>
      </c>
    </row>
    <row customHeight="1" ht="11.25">
      <c r="A38" s="0" t="s">
        <v>16</v>
      </c>
      <c r="B38" s="0" t="s">
        <v>137</v>
      </c>
      <c r="C38" s="0" t="s">
        <v>138</v>
      </c>
      <c r="D38" s="0" t="s">
        <v>137</v>
      </c>
      <c r="E38" s="0" t="s">
        <v>138</v>
      </c>
      <c r="F38" s="0" t="s">
        <v>3344</v>
      </c>
      <c r="G38" s="0" t="s">
        <v>136</v>
      </c>
    </row>
    <row customHeight="1" ht="11.25">
      <c r="A39" s="0" t="s">
        <v>16</v>
      </c>
      <c r="B39" s="0" t="s">
        <v>3408</v>
      </c>
      <c r="C39" s="0" t="s">
        <v>3409</v>
      </c>
      <c r="D39" s="0" t="s">
        <v>3408</v>
      </c>
      <c r="E39" s="0" t="s">
        <v>3409</v>
      </c>
      <c r="F39" s="0" t="s">
        <v>3343</v>
      </c>
      <c r="G39" s="0" t="s">
        <v>1770</v>
      </c>
    </row>
    <row customHeight="1" ht="11.25">
      <c r="A40" s="0" t="s">
        <v>16</v>
      </c>
      <c r="B40" s="0" t="s">
        <v>147</v>
      </c>
      <c r="C40" s="0" t="s">
        <v>3410</v>
      </c>
      <c r="D40" s="0" t="s">
        <v>3411</v>
      </c>
      <c r="E40" s="0" t="s">
        <v>3412</v>
      </c>
      <c r="F40" s="0" t="s">
        <v>3359</v>
      </c>
      <c r="G40" s="0" t="s">
        <v>1774</v>
      </c>
    </row>
    <row customHeight="1" ht="11.25">
      <c r="A41" s="0" t="s">
        <v>16</v>
      </c>
      <c r="B41" s="0" t="s">
        <v>147</v>
      </c>
      <c r="C41" s="0" t="s">
        <v>3410</v>
      </c>
      <c r="D41" s="0" t="s">
        <v>148</v>
      </c>
      <c r="E41" s="0" t="s">
        <v>149</v>
      </c>
      <c r="F41" s="0" t="s">
        <v>3359</v>
      </c>
      <c r="G41" s="0" t="s">
        <v>146</v>
      </c>
    </row>
    <row customHeight="1" ht="11.25">
      <c r="A42" s="0" t="s">
        <v>16</v>
      </c>
      <c r="B42" s="0" t="s">
        <v>147</v>
      </c>
      <c r="C42" s="0" t="s">
        <v>3410</v>
      </c>
      <c r="D42" s="0" t="s">
        <v>3413</v>
      </c>
      <c r="E42" s="0" t="s">
        <v>3414</v>
      </c>
      <c r="F42" s="0" t="s">
        <v>3359</v>
      </c>
      <c r="G42" s="0" t="s">
        <v>1783</v>
      </c>
    </row>
    <row customHeight="1" ht="11.25">
      <c r="A43" s="0" t="s">
        <v>16</v>
      </c>
      <c r="B43" s="0" t="s">
        <v>147</v>
      </c>
      <c r="C43" s="0" t="s">
        <v>3410</v>
      </c>
      <c r="D43" s="0" t="s">
        <v>147</v>
      </c>
      <c r="E43" s="0" t="s">
        <v>3410</v>
      </c>
      <c r="F43" s="0" t="s">
        <v>3360</v>
      </c>
      <c r="G43" s="0" t="s">
        <v>1792</v>
      </c>
    </row>
    <row customHeight="1" ht="11.25">
      <c r="A44" s="0" t="s">
        <v>16</v>
      </c>
      <c r="B44" s="0" t="s">
        <v>147</v>
      </c>
      <c r="C44" s="0" t="s">
        <v>3410</v>
      </c>
      <c r="D44" s="0" t="s">
        <v>3415</v>
      </c>
      <c r="E44" s="0" t="s">
        <v>3416</v>
      </c>
      <c r="F44" s="0" t="s">
        <v>3359</v>
      </c>
      <c r="G44" s="0" t="s">
        <v>1797</v>
      </c>
    </row>
    <row customHeight="1" ht="11.25">
      <c r="A45" s="0" t="s">
        <v>16</v>
      </c>
      <c r="B45" s="0" t="s">
        <v>147</v>
      </c>
      <c r="C45" s="0" t="s">
        <v>3410</v>
      </c>
      <c r="D45" s="0" t="s">
        <v>3417</v>
      </c>
      <c r="E45" s="0" t="s">
        <v>3418</v>
      </c>
      <c r="F45" s="0" t="s">
        <v>3376</v>
      </c>
      <c r="G45" s="0" t="s">
        <v>1801</v>
      </c>
    </row>
    <row customHeight="1" ht="11.25">
      <c r="A46" s="0" t="s">
        <v>16</v>
      </c>
      <c r="B46" s="0" t="s">
        <v>147</v>
      </c>
      <c r="C46" s="0" t="s">
        <v>3410</v>
      </c>
      <c r="D46" s="0" t="s">
        <v>3419</v>
      </c>
      <c r="E46" s="0" t="s">
        <v>3420</v>
      </c>
      <c r="F46" s="0" t="s">
        <v>3359</v>
      </c>
      <c r="G46" s="0" t="s">
        <v>1807</v>
      </c>
    </row>
    <row customHeight="1" ht="11.25">
      <c r="A47" s="0" t="s">
        <v>16</v>
      </c>
      <c r="B47" s="0" t="s">
        <v>147</v>
      </c>
      <c r="C47" s="0" t="s">
        <v>3410</v>
      </c>
      <c r="D47" s="0" t="s">
        <v>3421</v>
      </c>
      <c r="E47" s="0" t="s">
        <v>3422</v>
      </c>
      <c r="F47" s="0" t="s">
        <v>3359</v>
      </c>
      <c r="G47" s="0" t="s">
        <v>1811</v>
      </c>
    </row>
    <row customHeight="1" ht="11.25">
      <c r="A48" s="0" t="s">
        <v>16</v>
      </c>
      <c r="B48" s="0" t="s">
        <v>3423</v>
      </c>
      <c r="C48" s="0" t="s">
        <v>3424</v>
      </c>
      <c r="D48" s="0" t="s">
        <v>3423</v>
      </c>
      <c r="E48" s="0" t="s">
        <v>3424</v>
      </c>
      <c r="F48" s="0" t="s">
        <v>3360</v>
      </c>
      <c r="G48" s="0" t="s">
        <v>1814</v>
      </c>
    </row>
    <row customHeight="1" ht="11.25">
      <c r="A49" s="0" t="s">
        <v>16</v>
      </c>
      <c r="B49" s="0" t="s">
        <v>3423</v>
      </c>
      <c r="C49" s="0" t="s">
        <v>3424</v>
      </c>
      <c r="D49" s="0" t="s">
        <v>3425</v>
      </c>
      <c r="E49" s="0" t="s">
        <v>3426</v>
      </c>
      <c r="F49" s="0" t="s">
        <v>3359</v>
      </c>
      <c r="G49" s="0" t="s">
        <v>1818</v>
      </c>
    </row>
    <row customHeight="1" ht="11.25">
      <c r="A50" s="0" t="s">
        <v>16</v>
      </c>
      <c r="B50" s="0" t="s">
        <v>3423</v>
      </c>
      <c r="C50" s="0" t="s">
        <v>3424</v>
      </c>
      <c r="D50" s="0" t="s">
        <v>3427</v>
      </c>
      <c r="E50" s="0" t="s">
        <v>3428</v>
      </c>
      <c r="F50" s="0" t="s">
        <v>3359</v>
      </c>
      <c r="G50" s="0" t="s">
        <v>1822</v>
      </c>
    </row>
    <row customHeight="1" ht="11.25">
      <c r="A51" s="0" t="s">
        <v>16</v>
      </c>
      <c r="B51" s="0" t="s">
        <v>3423</v>
      </c>
      <c r="C51" s="0" t="s">
        <v>3424</v>
      </c>
      <c r="D51" s="0" t="s">
        <v>3429</v>
      </c>
      <c r="E51" s="0" t="s">
        <v>3430</v>
      </c>
      <c r="F51" s="0" t="s">
        <v>3359</v>
      </c>
      <c r="G51" s="0" t="s">
        <v>1826</v>
      </c>
    </row>
    <row customHeight="1" ht="11.25">
      <c r="A52" s="0" t="s">
        <v>16</v>
      </c>
      <c r="B52" s="0" t="s">
        <v>125</v>
      </c>
      <c r="C52" s="0" t="s">
        <v>126</v>
      </c>
      <c r="D52" s="0" t="s">
        <v>125</v>
      </c>
      <c r="E52" s="0" t="s">
        <v>126</v>
      </c>
      <c r="F52" s="0" t="s">
        <v>3344</v>
      </c>
      <c r="G52" s="0" t="s">
        <v>124</v>
      </c>
    </row>
    <row customHeight="1" ht="11.25">
      <c r="A53" s="0" t="s">
        <v>16</v>
      </c>
      <c r="B53" s="0" t="s">
        <v>3431</v>
      </c>
      <c r="C53" s="0" t="s">
        <v>3432</v>
      </c>
      <c r="D53" s="0" t="s">
        <v>3431</v>
      </c>
      <c r="E53" s="0" t="s">
        <v>3432</v>
      </c>
      <c r="F53" s="0" t="s">
        <v>3343</v>
      </c>
      <c r="G53" s="0" t="s">
        <v>1830</v>
      </c>
    </row>
    <row customHeight="1" ht="11.25">
      <c r="A54" s="0" t="s">
        <v>16</v>
      </c>
      <c r="B54" s="0" t="s">
        <v>3433</v>
      </c>
      <c r="C54" s="0" t="s">
        <v>3434</v>
      </c>
      <c r="D54" s="0" t="s">
        <v>3433</v>
      </c>
      <c r="E54" s="0" t="s">
        <v>3434</v>
      </c>
      <c r="F54" s="0" t="s">
        <v>3343</v>
      </c>
      <c r="G54" s="0" t="s">
        <v>1835</v>
      </c>
    </row>
    <row customHeight="1" ht="11.25">
      <c r="A55" s="0" t="s">
        <v>16</v>
      </c>
      <c r="B55" s="0" t="s">
        <v>165</v>
      </c>
      <c r="C55" s="0" t="s">
        <v>166</v>
      </c>
      <c r="D55" s="0" t="s">
        <v>165</v>
      </c>
      <c r="E55" s="0" t="s">
        <v>166</v>
      </c>
      <c r="F55" s="0" t="s">
        <v>3344</v>
      </c>
      <c r="G55" s="0" t="s">
        <v>164</v>
      </c>
    </row>
    <row customHeight="1" ht="11.25">
      <c r="A56" s="0" t="s">
        <v>16</v>
      </c>
      <c r="B56" s="0" t="s">
        <v>170</v>
      </c>
      <c r="C56" s="0" t="s">
        <v>171</v>
      </c>
      <c r="D56" s="0" t="s">
        <v>170</v>
      </c>
      <c r="E56" s="0" t="s">
        <v>171</v>
      </c>
      <c r="F56" s="0" t="s">
        <v>3343</v>
      </c>
      <c r="G56" s="0" t="s">
        <v>169</v>
      </c>
    </row>
    <row customHeight="1" ht="11.25">
      <c r="A57" s="0" t="s">
        <v>16</v>
      </c>
      <c r="B57" s="0" t="s">
        <v>3435</v>
      </c>
      <c r="C57" s="0" t="s">
        <v>3436</v>
      </c>
      <c r="D57" s="0" t="s">
        <v>3437</v>
      </c>
      <c r="E57" s="0" t="s">
        <v>3438</v>
      </c>
      <c r="F57" s="0" t="s">
        <v>3359</v>
      </c>
      <c r="G57" s="0" t="s">
        <v>1842</v>
      </c>
    </row>
    <row customHeight="1" ht="11.25">
      <c r="A58" s="0" t="s">
        <v>16</v>
      </c>
      <c r="B58" s="0" t="s">
        <v>3435</v>
      </c>
      <c r="C58" s="0" t="s">
        <v>3436</v>
      </c>
      <c r="D58" s="0" t="s">
        <v>3439</v>
      </c>
      <c r="E58" s="0" t="s">
        <v>3440</v>
      </c>
      <c r="F58" s="0" t="s">
        <v>3359</v>
      </c>
      <c r="G58" s="0" t="s">
        <v>1846</v>
      </c>
    </row>
    <row customHeight="1" ht="11.25">
      <c r="A59" s="0" t="s">
        <v>16</v>
      </c>
      <c r="B59" s="0" t="s">
        <v>3435</v>
      </c>
      <c r="C59" s="0" t="s">
        <v>3436</v>
      </c>
      <c r="D59" s="0" t="s">
        <v>3441</v>
      </c>
      <c r="E59" s="0" t="s">
        <v>3442</v>
      </c>
      <c r="F59" s="0" t="s">
        <v>3359</v>
      </c>
      <c r="G59" s="0" t="s">
        <v>1850</v>
      </c>
    </row>
    <row customHeight="1" ht="11.25">
      <c r="A60" s="0" t="s">
        <v>16</v>
      </c>
      <c r="B60" s="0" t="s">
        <v>3435</v>
      </c>
      <c r="C60" s="0" t="s">
        <v>3436</v>
      </c>
      <c r="D60" s="0" t="s">
        <v>3443</v>
      </c>
      <c r="E60" s="0" t="s">
        <v>3444</v>
      </c>
      <c r="F60" s="0" t="s">
        <v>3365</v>
      </c>
      <c r="G60" s="0" t="s">
        <v>3445</v>
      </c>
    </row>
    <row customHeight="1" ht="11.25">
      <c r="A61" s="0" t="s">
        <v>16</v>
      </c>
      <c r="B61" s="0" t="s">
        <v>3435</v>
      </c>
      <c r="C61" s="0" t="s">
        <v>3436</v>
      </c>
      <c r="D61" s="0" t="s">
        <v>3446</v>
      </c>
      <c r="E61" s="0" t="s">
        <v>3447</v>
      </c>
      <c r="F61" s="0" t="s">
        <v>3359</v>
      </c>
      <c r="G61" s="0" t="s">
        <v>3448</v>
      </c>
    </row>
    <row customHeight="1" ht="11.25">
      <c r="A62" s="0" t="s">
        <v>16</v>
      </c>
      <c r="B62" s="0" t="s">
        <v>3435</v>
      </c>
      <c r="C62" s="0" t="s">
        <v>3436</v>
      </c>
      <c r="D62" s="0" t="s">
        <v>3449</v>
      </c>
      <c r="E62" s="0" t="s">
        <v>3450</v>
      </c>
      <c r="F62" s="0" t="s">
        <v>3359</v>
      </c>
      <c r="G62" s="0" t="s">
        <v>3451</v>
      </c>
    </row>
    <row customHeight="1" ht="11.25">
      <c r="A63" s="0" t="s">
        <v>16</v>
      </c>
      <c r="B63" s="0" t="s">
        <v>3435</v>
      </c>
      <c r="C63" s="0" t="s">
        <v>3436</v>
      </c>
      <c r="D63" s="0" t="s">
        <v>3435</v>
      </c>
      <c r="E63" s="0" t="s">
        <v>3436</v>
      </c>
      <c r="F63" s="0" t="s">
        <v>3360</v>
      </c>
      <c r="G63" s="0" t="s">
        <v>3452</v>
      </c>
    </row>
    <row customHeight="1" ht="11.25">
      <c r="A64" s="0" t="s">
        <v>16</v>
      </c>
      <c r="B64" s="0" t="s">
        <v>3435</v>
      </c>
      <c r="C64" s="0" t="s">
        <v>3436</v>
      </c>
      <c r="D64" s="0" t="s">
        <v>3453</v>
      </c>
      <c r="E64" s="0" t="s">
        <v>3454</v>
      </c>
      <c r="F64" s="0" t="s">
        <v>3359</v>
      </c>
      <c r="G64" s="0" t="s">
        <v>3455</v>
      </c>
    </row>
    <row customHeight="1" ht="11.25">
      <c r="A65" s="0" t="s">
        <v>16</v>
      </c>
      <c r="B65" s="0" t="s">
        <v>3456</v>
      </c>
      <c r="C65" s="0" t="s">
        <v>3457</v>
      </c>
      <c r="D65" s="0" t="s">
        <v>3456</v>
      </c>
      <c r="E65" s="0" t="s">
        <v>3457</v>
      </c>
      <c r="F65" s="0" t="s">
        <v>3343</v>
      </c>
      <c r="G65" s="0" t="s">
        <v>3458</v>
      </c>
    </row>
    <row customHeight="1" ht="11.25">
      <c r="A66" s="0" t="s">
        <v>16</v>
      </c>
      <c r="B66" s="0" t="s">
        <v>3459</v>
      </c>
      <c r="C66" s="0" t="s">
        <v>3460</v>
      </c>
      <c r="D66" s="0" t="s">
        <v>3459</v>
      </c>
      <c r="E66" s="0" t="s">
        <v>3460</v>
      </c>
      <c r="F66" s="0" t="s">
        <v>3343</v>
      </c>
      <c r="G66" s="0" t="s">
        <v>2168</v>
      </c>
    </row>
    <row customHeight="1" ht="11.25">
      <c r="A67" s="0" t="s">
        <v>16</v>
      </c>
      <c r="B67" s="0" t="s">
        <v>155</v>
      </c>
      <c r="C67" s="0" t="s">
        <v>3461</v>
      </c>
      <c r="D67" s="0" t="s">
        <v>3462</v>
      </c>
      <c r="E67" s="0" t="s">
        <v>3463</v>
      </c>
      <c r="F67" s="0" t="s">
        <v>3359</v>
      </c>
      <c r="G67" s="0" t="s">
        <v>3464</v>
      </c>
    </row>
    <row customHeight="1" ht="11.25">
      <c r="A68" s="0" t="s">
        <v>16</v>
      </c>
      <c r="B68" s="0" t="s">
        <v>155</v>
      </c>
      <c r="C68" s="0" t="s">
        <v>3461</v>
      </c>
      <c r="D68" s="0" t="s">
        <v>3465</v>
      </c>
      <c r="E68" s="0" t="s">
        <v>3466</v>
      </c>
      <c r="F68" s="0" t="s">
        <v>3359</v>
      </c>
      <c r="G68" s="0" t="s">
        <v>2371</v>
      </c>
    </row>
    <row customHeight="1" ht="11.25">
      <c r="A69" s="0" t="s">
        <v>16</v>
      </c>
      <c r="B69" s="0" t="s">
        <v>155</v>
      </c>
      <c r="C69" s="0" t="s">
        <v>3461</v>
      </c>
      <c r="D69" s="0" t="s">
        <v>3467</v>
      </c>
      <c r="E69" s="0" t="s">
        <v>3468</v>
      </c>
      <c r="F69" s="0" t="s">
        <v>3359</v>
      </c>
      <c r="G69" s="0" t="s">
        <v>3469</v>
      </c>
    </row>
    <row customHeight="1" ht="11.25">
      <c r="A70" s="0" t="s">
        <v>16</v>
      </c>
      <c r="B70" s="0" t="s">
        <v>155</v>
      </c>
      <c r="C70" s="0" t="s">
        <v>3461</v>
      </c>
      <c r="D70" s="0" t="s">
        <v>3470</v>
      </c>
      <c r="E70" s="0" t="s">
        <v>3471</v>
      </c>
      <c r="F70" s="0" t="s">
        <v>3359</v>
      </c>
      <c r="G70" s="0" t="s">
        <v>3472</v>
      </c>
    </row>
    <row customHeight="1" ht="11.25">
      <c r="A71" s="0" t="s">
        <v>16</v>
      </c>
      <c r="B71" s="0" t="s">
        <v>155</v>
      </c>
      <c r="C71" s="0" t="s">
        <v>3461</v>
      </c>
      <c r="D71" s="0" t="s">
        <v>3473</v>
      </c>
      <c r="E71" s="0" t="s">
        <v>3474</v>
      </c>
      <c r="F71" s="0" t="s">
        <v>3359</v>
      </c>
      <c r="G71" s="0" t="s">
        <v>3475</v>
      </c>
    </row>
    <row customHeight="1" ht="11.25">
      <c r="A72" s="0" t="s">
        <v>16</v>
      </c>
      <c r="B72" s="0" t="s">
        <v>155</v>
      </c>
      <c r="C72" s="0" t="s">
        <v>3461</v>
      </c>
      <c r="D72" s="0" t="s">
        <v>155</v>
      </c>
      <c r="E72" s="0" t="s">
        <v>3461</v>
      </c>
      <c r="F72" s="0" t="s">
        <v>3360</v>
      </c>
      <c r="G72" s="0" t="s">
        <v>3476</v>
      </c>
    </row>
    <row customHeight="1" ht="11.25">
      <c r="A73" s="0" t="s">
        <v>16</v>
      </c>
      <c r="B73" s="0" t="s">
        <v>155</v>
      </c>
      <c r="C73" s="0" t="s">
        <v>3461</v>
      </c>
      <c r="D73" s="0" t="s">
        <v>156</v>
      </c>
      <c r="E73" s="0" t="s">
        <v>157</v>
      </c>
      <c r="F73" s="0" t="s">
        <v>3359</v>
      </c>
      <c r="G73" s="0" t="s">
        <v>154</v>
      </c>
    </row>
    <row customHeight="1" ht="11.25">
      <c r="A74" s="0" t="s">
        <v>16</v>
      </c>
      <c r="B74" s="0" t="s">
        <v>155</v>
      </c>
      <c r="C74" s="0" t="s">
        <v>3461</v>
      </c>
      <c r="D74" s="0" t="s">
        <v>3477</v>
      </c>
      <c r="E74" s="0" t="s">
        <v>3478</v>
      </c>
      <c r="F74" s="0" t="s">
        <v>3359</v>
      </c>
      <c r="G74" s="0" t="s">
        <v>3479</v>
      </c>
    </row>
    <row customHeight="1" ht="11.25">
      <c r="A75" s="0" t="s">
        <v>16</v>
      </c>
      <c r="B75" s="0" t="s">
        <v>155</v>
      </c>
      <c r="C75" s="0" t="s">
        <v>3461</v>
      </c>
      <c r="D75" s="0" t="s">
        <v>3480</v>
      </c>
      <c r="E75" s="0" t="s">
        <v>3481</v>
      </c>
      <c r="F75" s="0" t="s">
        <v>3359</v>
      </c>
      <c r="G75" s="0" t="s">
        <v>3482</v>
      </c>
    </row>
    <row customHeight="1" ht="11.25">
      <c r="A76" s="0" t="s">
        <v>16</v>
      </c>
      <c r="B76" s="0" t="s">
        <v>3483</v>
      </c>
      <c r="C76" s="0" t="s">
        <v>3484</v>
      </c>
      <c r="D76" s="0" t="s">
        <v>3483</v>
      </c>
      <c r="E76" s="0" t="s">
        <v>3484</v>
      </c>
      <c r="F76" s="0" t="s">
        <v>3343</v>
      </c>
      <c r="G76" s="0" t="s">
        <v>3485</v>
      </c>
    </row>
    <row customHeight="1" ht="11.25">
      <c r="A77" s="0" t="s">
        <v>16</v>
      </c>
      <c r="B77" s="0" t="s">
        <v>3486</v>
      </c>
      <c r="C77" s="0" t="s">
        <v>3487</v>
      </c>
      <c r="D77" s="0" t="s">
        <v>3486</v>
      </c>
      <c r="E77" s="0" t="s">
        <v>3487</v>
      </c>
      <c r="F77" s="0" t="s">
        <v>3344</v>
      </c>
      <c r="G77" s="0" t="s">
        <v>3488</v>
      </c>
    </row>
    <row customHeight="1" ht="11.25">
      <c r="A78" s="0" t="s">
        <v>16</v>
      </c>
      <c r="B78" s="0" t="s">
        <v>3489</v>
      </c>
      <c r="C78" s="0" t="s">
        <v>3490</v>
      </c>
      <c r="D78" s="0" t="s">
        <v>3489</v>
      </c>
      <c r="E78" s="0" t="s">
        <v>3490</v>
      </c>
      <c r="F78" s="0" t="s">
        <v>3343</v>
      </c>
      <c r="G78" s="0" t="s">
        <v>3491</v>
      </c>
    </row>
    <row customHeight="1" ht="11.25">
      <c r="A79" s="0" t="s">
        <v>16</v>
      </c>
      <c r="B79" s="0" t="s">
        <v>111</v>
      </c>
      <c r="C79" s="0" t="s">
        <v>112</v>
      </c>
      <c r="D79" s="0" t="s">
        <v>111</v>
      </c>
      <c r="E79" s="0" t="s">
        <v>112</v>
      </c>
      <c r="F79" s="0" t="s">
        <v>3343</v>
      </c>
      <c r="G79" s="0" t="s">
        <v>110</v>
      </c>
    </row>
    <row customHeight="1" ht="11.25">
      <c r="A80" s="0" t="s">
        <v>16</v>
      </c>
      <c r="B80" s="0" t="s">
        <v>129</v>
      </c>
      <c r="C80" s="0" t="s">
        <v>130</v>
      </c>
      <c r="D80" s="0" t="s">
        <v>129</v>
      </c>
      <c r="E80" s="0" t="s">
        <v>130</v>
      </c>
      <c r="F80" s="0" t="s">
        <v>3343</v>
      </c>
      <c r="G80" s="0" t="s">
        <v>128</v>
      </c>
    </row>
    <row customHeight="1" ht="11.25">
      <c r="A81" s="0" t="s">
        <v>16</v>
      </c>
      <c r="B81" s="0" t="s">
        <v>3492</v>
      </c>
      <c r="C81" s="0" t="s">
        <v>3493</v>
      </c>
      <c r="D81" s="0" t="s">
        <v>3492</v>
      </c>
      <c r="E81" s="0" t="s">
        <v>3493</v>
      </c>
      <c r="F81" s="0" t="s">
        <v>3343</v>
      </c>
      <c r="G81" s="0" t="s">
        <v>3494</v>
      </c>
    </row>
    <row customHeight="1" ht="11.25">
      <c r="A82" s="0" t="s">
        <v>16</v>
      </c>
      <c r="B82" s="0" t="s">
        <v>3495</v>
      </c>
      <c r="C82" s="0" t="s">
        <v>3496</v>
      </c>
      <c r="D82" s="0" t="s">
        <v>3497</v>
      </c>
      <c r="E82" s="0" t="s">
        <v>3498</v>
      </c>
      <c r="F82" s="0" t="s">
        <v>3359</v>
      </c>
      <c r="G82" s="0" t="s">
        <v>3499</v>
      </c>
    </row>
    <row customHeight="1" ht="11.25">
      <c r="A83" s="0" t="s">
        <v>16</v>
      </c>
      <c r="B83" s="0" t="s">
        <v>3495</v>
      </c>
      <c r="C83" s="0" t="s">
        <v>3496</v>
      </c>
      <c r="D83" s="0" t="s">
        <v>3500</v>
      </c>
      <c r="E83" s="0" t="s">
        <v>3501</v>
      </c>
      <c r="F83" s="0" t="s">
        <v>3365</v>
      </c>
      <c r="G83" s="0" t="s">
        <v>3502</v>
      </c>
    </row>
    <row customHeight="1" ht="11.25">
      <c r="A84" s="0" t="s">
        <v>16</v>
      </c>
      <c r="B84" s="0" t="s">
        <v>3495</v>
      </c>
      <c r="C84" s="0" t="s">
        <v>3496</v>
      </c>
      <c r="D84" s="0" t="s">
        <v>3503</v>
      </c>
      <c r="E84" s="0" t="s">
        <v>3504</v>
      </c>
      <c r="F84" s="0" t="s">
        <v>3359</v>
      </c>
      <c r="G84" s="0" t="s">
        <v>3505</v>
      </c>
    </row>
    <row customHeight="1" ht="11.25">
      <c r="A85" s="0" t="s">
        <v>16</v>
      </c>
      <c r="B85" s="0" t="s">
        <v>3495</v>
      </c>
      <c r="C85" s="0" t="s">
        <v>3496</v>
      </c>
      <c r="D85" s="0" t="s">
        <v>3506</v>
      </c>
      <c r="E85" s="0" t="s">
        <v>3507</v>
      </c>
      <c r="F85" s="0" t="s">
        <v>3376</v>
      </c>
      <c r="G85" s="0" t="s">
        <v>3508</v>
      </c>
    </row>
    <row customHeight="1" ht="11.25">
      <c r="A86" s="0" t="s">
        <v>16</v>
      </c>
      <c r="B86" s="0" t="s">
        <v>3495</v>
      </c>
      <c r="C86" s="0" t="s">
        <v>3496</v>
      </c>
      <c r="D86" s="0" t="s">
        <v>3509</v>
      </c>
      <c r="E86" s="0" t="s">
        <v>3510</v>
      </c>
      <c r="F86" s="0" t="s">
        <v>3359</v>
      </c>
      <c r="G86" s="0" t="s">
        <v>3511</v>
      </c>
    </row>
    <row customHeight="1" ht="11.25">
      <c r="A87" s="0" t="s">
        <v>16</v>
      </c>
      <c r="B87" s="0" t="s">
        <v>3495</v>
      </c>
      <c r="C87" s="0" t="s">
        <v>3496</v>
      </c>
      <c r="D87" s="0" t="s">
        <v>3495</v>
      </c>
      <c r="E87" s="0" t="s">
        <v>3496</v>
      </c>
      <c r="F87" s="0" t="s">
        <v>3360</v>
      </c>
      <c r="G87" s="0" t="s">
        <v>3512</v>
      </c>
    </row>
    <row customHeight="1" ht="11.25">
      <c r="A88" s="0" t="s">
        <v>16</v>
      </c>
      <c r="B88" s="0" t="s">
        <v>3495</v>
      </c>
      <c r="C88" s="0" t="s">
        <v>3496</v>
      </c>
      <c r="D88" s="0" t="s">
        <v>3513</v>
      </c>
      <c r="E88" s="0" t="s">
        <v>3514</v>
      </c>
      <c r="F88" s="0" t="s">
        <v>3359</v>
      </c>
      <c r="G88" s="0" t="s">
        <v>3515</v>
      </c>
    </row>
    <row customHeight="1" ht="11.25">
      <c r="A89" s="0" t="s">
        <v>16</v>
      </c>
      <c r="B89" s="0" t="s">
        <v>3516</v>
      </c>
      <c r="C89" s="0" t="s">
        <v>3517</v>
      </c>
      <c r="D89" s="0" t="s">
        <v>3516</v>
      </c>
      <c r="E89" s="0" t="s">
        <v>3517</v>
      </c>
      <c r="F89" s="0" t="s">
        <v>3343</v>
      </c>
      <c r="G89" s="0" t="s">
        <v>3518</v>
      </c>
    </row>
    <row customHeight="1" ht="11.25">
      <c r="A90" s="0" t="s">
        <v>16</v>
      </c>
      <c r="B90" s="0" t="s">
        <v>3519</v>
      </c>
      <c r="C90" s="0" t="s">
        <v>3520</v>
      </c>
      <c r="D90" s="0" t="s">
        <v>3519</v>
      </c>
      <c r="E90" s="0" t="s">
        <v>3520</v>
      </c>
      <c r="F90" s="0" t="s">
        <v>3343</v>
      </c>
      <c r="G90" s="0" t="s">
        <v>3521</v>
      </c>
    </row>
    <row customHeight="1" ht="11.25">
      <c r="A91" s="0" t="s">
        <v>16</v>
      </c>
      <c r="B91" s="0" t="s">
        <v>3522</v>
      </c>
      <c r="C91" s="0" t="s">
        <v>3523</v>
      </c>
      <c r="D91" s="0" t="s">
        <v>3524</v>
      </c>
      <c r="E91" s="0" t="s">
        <v>3525</v>
      </c>
      <c r="F91" s="0" t="s">
        <v>3359</v>
      </c>
      <c r="G91" s="0" t="s">
        <v>3526</v>
      </c>
    </row>
    <row customHeight="1" ht="11.25">
      <c r="A92" s="0" t="s">
        <v>16</v>
      </c>
      <c r="B92" s="0" t="s">
        <v>3522</v>
      </c>
      <c r="C92" s="0" t="s">
        <v>3523</v>
      </c>
      <c r="D92" s="0" t="s">
        <v>3527</v>
      </c>
      <c r="E92" s="0" t="s">
        <v>3528</v>
      </c>
      <c r="F92" s="0" t="s">
        <v>3359</v>
      </c>
      <c r="G92" s="0" t="s">
        <v>3529</v>
      </c>
    </row>
    <row customHeight="1" ht="11.25">
      <c r="A93" s="0" t="s">
        <v>16</v>
      </c>
      <c r="B93" s="0" t="s">
        <v>3522</v>
      </c>
      <c r="C93" s="0" t="s">
        <v>3523</v>
      </c>
      <c r="D93" s="0" t="s">
        <v>3530</v>
      </c>
      <c r="E93" s="0" t="s">
        <v>3531</v>
      </c>
      <c r="F93" s="0" t="s">
        <v>3359</v>
      </c>
      <c r="G93" s="0" t="s">
        <v>3532</v>
      </c>
    </row>
    <row customHeight="1" ht="11.25">
      <c r="A94" s="0" t="s">
        <v>16</v>
      </c>
      <c r="B94" s="0" t="s">
        <v>3522</v>
      </c>
      <c r="C94" s="0" t="s">
        <v>3523</v>
      </c>
      <c r="D94" s="0" t="s">
        <v>3533</v>
      </c>
      <c r="E94" s="0" t="s">
        <v>3534</v>
      </c>
      <c r="F94" s="0" t="s">
        <v>3376</v>
      </c>
      <c r="G94" s="0" t="s">
        <v>3535</v>
      </c>
    </row>
    <row customHeight="1" ht="11.25">
      <c r="A95" s="0" t="s">
        <v>16</v>
      </c>
      <c r="B95" s="0" t="s">
        <v>3522</v>
      </c>
      <c r="C95" s="0" t="s">
        <v>3523</v>
      </c>
      <c r="D95" s="0" t="s">
        <v>3536</v>
      </c>
      <c r="E95" s="0" t="s">
        <v>3537</v>
      </c>
      <c r="F95" s="0" t="s">
        <v>3359</v>
      </c>
      <c r="G95" s="0" t="s">
        <v>3538</v>
      </c>
    </row>
    <row customHeight="1" ht="11.25">
      <c r="A96" s="0" t="s">
        <v>16</v>
      </c>
      <c r="B96" s="0" t="s">
        <v>3522</v>
      </c>
      <c r="C96" s="0" t="s">
        <v>3523</v>
      </c>
      <c r="D96" s="0" t="s">
        <v>3522</v>
      </c>
      <c r="E96" s="0" t="s">
        <v>3523</v>
      </c>
      <c r="F96" s="0" t="s">
        <v>3360</v>
      </c>
      <c r="G96" s="0" t="s">
        <v>3539</v>
      </c>
    </row>
    <row customHeight="1" ht="11.25">
      <c r="A97" s="0" t="s">
        <v>16</v>
      </c>
      <c r="B97" s="0" t="s">
        <v>3522</v>
      </c>
      <c r="C97" s="0" t="s">
        <v>3523</v>
      </c>
      <c r="D97" s="0" t="s">
        <v>3540</v>
      </c>
      <c r="E97" s="0" t="s">
        <v>3541</v>
      </c>
      <c r="F97" s="0" t="s">
        <v>3376</v>
      </c>
      <c r="G97" s="0" t="s">
        <v>3542</v>
      </c>
    </row>
    <row customHeight="1" ht="11.25">
      <c r="A98" s="0" t="s">
        <v>16</v>
      </c>
      <c r="B98" s="0" t="s">
        <v>3522</v>
      </c>
      <c r="C98" s="0" t="s">
        <v>3523</v>
      </c>
      <c r="D98" s="0" t="s">
        <v>3543</v>
      </c>
      <c r="E98" s="0" t="s">
        <v>3544</v>
      </c>
      <c r="F98" s="0" t="s">
        <v>3359</v>
      </c>
      <c r="G98" s="0" t="s">
        <v>3545</v>
      </c>
    </row>
    <row customHeight="1" ht="11.25">
      <c r="A99" s="0" t="s">
        <v>16</v>
      </c>
      <c r="B99" s="0" t="s">
        <v>3546</v>
      </c>
      <c r="C99" s="0" t="s">
        <v>3547</v>
      </c>
      <c r="D99" s="0" t="s">
        <v>3546</v>
      </c>
      <c r="E99" s="0" t="s">
        <v>3547</v>
      </c>
      <c r="F99" s="0" t="s">
        <v>3343</v>
      </c>
      <c r="G99" s="0" t="s">
        <v>3548</v>
      </c>
    </row>
    <row customHeight="1" ht="11.25">
      <c r="A100" s="0" t="s">
        <v>16</v>
      </c>
      <c r="B100" s="0" t="s">
        <v>3549</v>
      </c>
      <c r="C100" s="0" t="s">
        <v>3550</v>
      </c>
      <c r="D100" s="0" t="s">
        <v>3551</v>
      </c>
      <c r="E100" s="0" t="s">
        <v>3552</v>
      </c>
      <c r="F100" s="0" t="s">
        <v>3359</v>
      </c>
      <c r="G100" s="0" t="s">
        <v>3553</v>
      </c>
    </row>
    <row customHeight="1" ht="11.25">
      <c r="A101" s="0" t="s">
        <v>16</v>
      </c>
      <c r="B101" s="0" t="s">
        <v>3549</v>
      </c>
      <c r="C101" s="0" t="s">
        <v>3550</v>
      </c>
      <c r="D101" s="0" t="s">
        <v>3554</v>
      </c>
      <c r="E101" s="0" t="s">
        <v>3555</v>
      </c>
      <c r="F101" s="0" t="s">
        <v>3359</v>
      </c>
      <c r="G101" s="0" t="s">
        <v>3556</v>
      </c>
    </row>
    <row customHeight="1" ht="11.25">
      <c r="A102" s="0" t="s">
        <v>16</v>
      </c>
      <c r="B102" s="0" t="s">
        <v>3549</v>
      </c>
      <c r="C102" s="0" t="s">
        <v>3550</v>
      </c>
      <c r="D102" s="0" t="s">
        <v>3557</v>
      </c>
      <c r="E102" s="0" t="s">
        <v>3558</v>
      </c>
      <c r="F102" s="0" t="s">
        <v>3359</v>
      </c>
      <c r="G102" s="0" t="s">
        <v>3559</v>
      </c>
    </row>
    <row customHeight="1" ht="11.25">
      <c r="A103" s="0" t="s">
        <v>16</v>
      </c>
      <c r="B103" s="0" t="s">
        <v>3549</v>
      </c>
      <c r="C103" s="0" t="s">
        <v>3550</v>
      </c>
      <c r="D103" s="0" t="s">
        <v>3560</v>
      </c>
      <c r="E103" s="0" t="s">
        <v>3561</v>
      </c>
      <c r="F103" s="0" t="s">
        <v>3359</v>
      </c>
      <c r="G103" s="0" t="s">
        <v>3562</v>
      </c>
    </row>
    <row customHeight="1" ht="11.25">
      <c r="A104" s="0" t="s">
        <v>16</v>
      </c>
      <c r="B104" s="0" t="s">
        <v>3549</v>
      </c>
      <c r="C104" s="0" t="s">
        <v>3550</v>
      </c>
      <c r="D104" s="0" t="s">
        <v>3549</v>
      </c>
      <c r="E104" s="0" t="s">
        <v>3550</v>
      </c>
      <c r="F104" s="0" t="s">
        <v>3360</v>
      </c>
      <c r="G104" s="0" t="s">
        <v>3563</v>
      </c>
    </row>
    <row customHeight="1" ht="11.25">
      <c r="A105" s="0" t="s">
        <v>16</v>
      </c>
      <c r="B105" s="0" t="s">
        <v>3549</v>
      </c>
      <c r="C105" s="0" t="s">
        <v>3550</v>
      </c>
      <c r="D105" s="0" t="s">
        <v>3564</v>
      </c>
      <c r="E105" s="0" t="s">
        <v>3565</v>
      </c>
      <c r="F105" s="0" t="s">
        <v>3359</v>
      </c>
      <c r="G105" s="0" t="s">
        <v>3566</v>
      </c>
    </row>
    <row customHeight="1" ht="11.25">
      <c r="A106" s="0" t="s">
        <v>16</v>
      </c>
      <c r="B106" s="0" t="s">
        <v>3567</v>
      </c>
      <c r="C106" s="0" t="s">
        <v>3568</v>
      </c>
      <c r="D106" s="0" t="s">
        <v>3567</v>
      </c>
      <c r="E106" s="0" t="s">
        <v>3568</v>
      </c>
      <c r="F106" s="0" t="s">
        <v>3344</v>
      </c>
      <c r="G106" s="0" t="s">
        <v>3569</v>
      </c>
    </row>
    <row customHeight="1" ht="11.25">
      <c r="A107" s="0" t="s">
        <v>16</v>
      </c>
      <c r="B107" s="0" t="s">
        <v>3570</v>
      </c>
      <c r="C107" s="0" t="s">
        <v>3571</v>
      </c>
      <c r="D107" s="0" t="s">
        <v>3570</v>
      </c>
      <c r="E107" s="0" t="s">
        <v>3571</v>
      </c>
      <c r="F107" s="0" t="s">
        <v>3344</v>
      </c>
      <c r="G107" s="0" t="s">
        <v>3572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83ACE-B11B-6013-58F3-4D137D1B6B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7" width="9.140625"/>
    <col min="2" max="2" style="1707" width="84.28125" customWidth="1"/>
    <col min="3" max="3" style="1707" width="9.140625"/>
  </cols>
  <sheetData>
    <row customHeight="1" ht="11.25">
      <c r="A1" s="851" t="s">
        <v>3647</v>
      </c>
      <c r="B1" s="851" t="s">
        <v>3648</v>
      </c>
      <c r="C1" s="851" t="s">
        <v>1323</v>
      </c>
    </row>
    <row customHeight="1" ht="11.25">
      <c r="A2" s="851">
        <v>4189678</v>
      </c>
      <c r="B2" s="851" t="s">
        <v>3649</v>
      </c>
      <c r="C2" s="851" t="s">
        <v>3650</v>
      </c>
    </row>
    <row customHeight="1" ht="11.25">
      <c r="A3" s="851">
        <v>4190415</v>
      </c>
      <c r="B3" s="851" t="s">
        <v>3651</v>
      </c>
      <c r="C3" s="851" t="s">
        <v>3650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5EA18-B912-B1C8-5F6C-D029D3B2635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8" width="38.421875" customWidth="1"/>
    <col min="2" max="5" style="178" width="9.140625"/>
  </cols>
  <sheetData>
    <row customHeight="1" ht="15">
      <c r="A1" s="179" t="s">
        <v>3652</v>
      </c>
      <c r="B1" s="179" t="s">
        <v>3653</v>
      </c>
      <c r="C1" s="179"/>
      <c r="D1" s="179"/>
      <c r="E1" s="179"/>
    </row>
    <row customHeight="1" ht="15">
      <c r="A2" s="179"/>
      <c r="B2" s="179"/>
      <c r="C2" s="179"/>
      <c r="D2" s="179"/>
      <c r="E2" s="179"/>
    </row>
    <row customHeight="1" ht="15">
      <c r="A3" s="179"/>
      <c r="B3" s="179"/>
      <c r="C3" s="179"/>
      <c r="D3" s="179"/>
      <c r="E3" s="179"/>
    </row>
    <row customHeight="1" ht="15">
      <c r="A4" s="179"/>
      <c r="B4" s="179"/>
      <c r="C4" s="179"/>
      <c r="D4" s="179"/>
      <c r="E4" s="179"/>
    </row>
    <row customHeight="1" ht="15">
      <c r="A5" s="179"/>
      <c r="B5" s="179"/>
      <c r="C5" s="179"/>
      <c r="D5" s="179"/>
      <c r="E5" s="179"/>
    </row>
    <row customHeight="1" ht="15">
      <c r="A6" s="179"/>
      <c r="B6" s="179"/>
      <c r="C6" s="179"/>
      <c r="D6" s="179"/>
      <c r="E6" s="179"/>
    </row>
    <row customHeight="1" ht="15">
      <c r="A7" s="179"/>
      <c r="B7" s="179"/>
      <c r="C7" s="179"/>
      <c r="D7" s="179"/>
      <c r="E7" s="179"/>
    </row>
    <row customHeight="1" ht="15">
      <c r="A8" s="179"/>
      <c r="B8" s="179"/>
      <c r="C8" s="179"/>
      <c r="D8" s="179"/>
      <c r="E8" s="17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A6278-5D94-076C-1A98-1CAD8B2769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3654</v>
      </c>
      <c r="B1" s="0" t="b">
        <v>1</v>
      </c>
    </row>
    <row customHeight="1" ht="11.25">
      <c r="A2" s="0" t="s">
        <v>3655</v>
      </c>
      <c r="B2" s="0" t="b">
        <v>0</v>
      </c>
    </row>
    <row customHeight="1" ht="11.25">
      <c r="A3" s="0" t="s">
        <v>3656</v>
      </c>
      <c r="B3" s="0" t="b">
        <v>1</v>
      </c>
    </row>
    <row customHeight="1" ht="11.25">
      <c r="A4" s="0" t="s">
        <v>3657</v>
      </c>
      <c r="B4" s="0" t="b">
        <v>0</v>
      </c>
    </row>
    <row customHeight="1" ht="11.25">
      <c r="A5" s="0" t="s">
        <v>3658</v>
      </c>
      <c r="B5" s="0" t="b">
        <v>0</v>
      </c>
    </row>
    <row customHeight="1" ht="11.25">
      <c r="A6" s="0" t="s">
        <v>3659</v>
      </c>
      <c r="B6" s="0" t="b">
        <v>0</v>
      </c>
    </row>
    <row customHeight="1" ht="11.25">
      <c r="A7" s="0" t="s">
        <v>3660</v>
      </c>
      <c r="B7" s="0" t="b">
        <v>0</v>
      </c>
    </row>
    <row customHeight="1" ht="11.25">
      <c r="A8" s="0" t="s">
        <v>3661</v>
      </c>
      <c r="B8" s="0" t="b">
        <v>0</v>
      </c>
    </row>
    <row customHeight="1" ht="11.25">
      <c r="A9" s="0" t="s">
        <v>3662</v>
      </c>
      <c r="B9" s="0" t="b">
        <v>1</v>
      </c>
    </row>
    <row customHeight="1" ht="11.25">
      <c r="A10" s="0" t="s">
        <v>3663</v>
      </c>
      <c r="B10" s="0" t="b">
        <v>0</v>
      </c>
    </row>
    <row customHeight="1" ht="11.25">
      <c r="A11" s="0" t="s">
        <v>3664</v>
      </c>
      <c r="B11" s="0" t="b">
        <v>0</v>
      </c>
    </row>
    <row customHeight="1" ht="11.25">
      <c r="A12" s="0" t="s">
        <v>3665</v>
      </c>
      <c r="B12" s="0" t="b">
        <v>0</v>
      </c>
    </row>
    <row customHeight="1" ht="11.25">
      <c r="A13" s="0" t="s">
        <v>3666</v>
      </c>
      <c r="B13" s="0" t="b">
        <v>0</v>
      </c>
    </row>
    <row customHeight="1" ht="11.25">
      <c r="A14" s="0" t="s">
        <v>3667</v>
      </c>
      <c r="B14" s="0" t="b">
        <v>0</v>
      </c>
    </row>
    <row customHeight="1" ht="11.25">
      <c r="A15" s="0" t="s">
        <v>3668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57045-993D-01AD-2C8D-FEE7B312314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91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D476E-EC2C-05FA-FFFB-0C2FC5FD31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6" width="36.28125" customWidth="1"/>
    <col min="2" max="2" style="1866" width="21.140625" customWidth="1"/>
  </cols>
  <sheetData>
    <row customHeight="1" ht="11.25">
      <c r="A1" s="83" t="s">
        <v>3669</v>
      </c>
      <c r="B1" s="83" t="s">
        <v>3670</v>
      </c>
    </row>
    <row customHeight="1" ht="11.25">
      <c r="A2" s="80" t="s">
        <v>3671</v>
      </c>
      <c r="B2" s="80" t="s">
        <v>3672</v>
      </c>
    </row>
    <row customHeight="1" ht="11.25">
      <c r="A3" s="80" t="s">
        <v>3673</v>
      </c>
      <c r="B3" s="80" t="s">
        <v>3674</v>
      </c>
    </row>
    <row customHeight="1" ht="11.25">
      <c r="A4" s="80" t="s">
        <v>3675</v>
      </c>
      <c r="B4" s="80" t="s">
        <v>3676</v>
      </c>
    </row>
    <row customHeight="1" ht="11.25">
      <c r="A5" s="80" t="s">
        <v>3677</v>
      </c>
      <c r="B5" s="80" t="s">
        <v>3678</v>
      </c>
    </row>
    <row customHeight="1" ht="11.25">
      <c r="A6" s="80" t="s">
        <v>3679</v>
      </c>
      <c r="B6" s="80" t="s">
        <v>3680</v>
      </c>
    </row>
    <row customHeight="1" ht="11.25">
      <c r="A7" s="80" t="s">
        <v>3681</v>
      </c>
      <c r="B7" s="80" t="s">
        <v>3682</v>
      </c>
    </row>
    <row customHeight="1" ht="11.25">
      <c r="A8" s="80" t="s">
        <v>3683</v>
      </c>
      <c r="B8" s="80" t="s">
        <v>3684</v>
      </c>
    </row>
    <row customHeight="1" ht="11.25">
      <c r="A9" s="80" t="s">
        <v>3685</v>
      </c>
      <c r="B9" s="80" t="s">
        <v>3686</v>
      </c>
    </row>
    <row customHeight="1" ht="11.25">
      <c r="A10" s="80" t="s">
        <v>3687</v>
      </c>
      <c r="B10" s="80" t="s">
        <v>3688</v>
      </c>
    </row>
    <row customHeight="1" ht="11.25">
      <c r="A11" s="80" t="s">
        <v>3689</v>
      </c>
      <c r="B11" s="80" t="s">
        <v>3690</v>
      </c>
    </row>
    <row customHeight="1" ht="11.25">
      <c r="A12" s="80" t="s">
        <v>3691</v>
      </c>
      <c r="B12" s="80" t="s">
        <v>3692</v>
      </c>
    </row>
    <row customHeight="1" ht="11.25">
      <c r="A13" s="80" t="s">
        <v>3693</v>
      </c>
      <c r="B13" s="80" t="s">
        <v>3694</v>
      </c>
    </row>
    <row customHeight="1" ht="11.25">
      <c r="A14" s="80" t="s">
        <v>3695</v>
      </c>
      <c r="B14" s="80" t="s">
        <v>3696</v>
      </c>
    </row>
    <row customHeight="1" ht="11.25">
      <c r="A15" s="80" t="s">
        <v>3697</v>
      </c>
      <c r="B15" s="80" t="s">
        <v>3698</v>
      </c>
    </row>
    <row customHeight="1" ht="11.25">
      <c r="A16" s="80" t="s">
        <v>3699</v>
      </c>
      <c r="B16" s="80" t="s">
        <v>3700</v>
      </c>
    </row>
    <row customHeight="1" ht="11.25">
      <c r="A17" s="80" t="s">
        <v>3701</v>
      </c>
      <c r="B17" s="80" t="s">
        <v>3702</v>
      </c>
    </row>
    <row customHeight="1" ht="11.25">
      <c r="A18" s="80" t="s">
        <v>3703</v>
      </c>
      <c r="B18" s="80" t="s">
        <v>3704</v>
      </c>
    </row>
    <row customHeight="1" ht="11.25">
      <c r="A19" s="80" t="s">
        <v>3705</v>
      </c>
      <c r="B19" s="80" t="s">
        <v>3706</v>
      </c>
    </row>
    <row customHeight="1" ht="11.25">
      <c r="A20" s="80" t="s">
        <v>3707</v>
      </c>
      <c r="B20" s="80" t="s">
        <v>3708</v>
      </c>
    </row>
    <row customHeight="1" ht="11.25">
      <c r="A21" s="80" t="s">
        <v>3709</v>
      </c>
      <c r="B21" s="80" t="s">
        <v>3710</v>
      </c>
    </row>
    <row customHeight="1" ht="11.25">
      <c r="A22" s="80" t="s">
        <v>3711</v>
      </c>
      <c r="B22" s="80" t="s">
        <v>3712</v>
      </c>
    </row>
    <row customHeight="1" ht="11.25">
      <c r="A23" s="80" t="s">
        <v>3713</v>
      </c>
      <c r="B23" s="80" t="s">
        <v>3714</v>
      </c>
    </row>
    <row customHeight="1" ht="11.25">
      <c r="A24" s="80" t="s">
        <v>3715</v>
      </c>
      <c r="B24" s="80" t="s">
        <v>3716</v>
      </c>
    </row>
    <row customHeight="1" ht="11.25">
      <c r="A25" s="80" t="s">
        <v>3717</v>
      </c>
      <c r="B25" s="80" t="s">
        <v>3718</v>
      </c>
    </row>
    <row customHeight="1" ht="11.25">
      <c r="A26" s="80" t="s">
        <v>3719</v>
      </c>
      <c r="B26" s="80" t="s">
        <v>3720</v>
      </c>
    </row>
    <row customHeight="1" ht="11.25">
      <c r="A27" s="80" t="s">
        <v>3721</v>
      </c>
      <c r="B27" s="80" t="s">
        <v>3722</v>
      </c>
    </row>
    <row customHeight="1" ht="11.25">
      <c r="A28" s="80" t="s">
        <v>3723</v>
      </c>
      <c r="B28" s="80" t="s">
        <v>3724</v>
      </c>
    </row>
    <row customHeight="1" ht="11.25">
      <c r="A29" s="80" t="s">
        <v>3725</v>
      </c>
      <c r="B29" s="80" t="s">
        <v>3726</v>
      </c>
    </row>
    <row customHeight="1" ht="11.25">
      <c r="A30" s="80" t="s">
        <v>3727</v>
      </c>
      <c r="B30" s="80" t="s">
        <v>3728</v>
      </c>
    </row>
    <row customHeight="1" ht="11.25">
      <c r="A31" s="80" t="s">
        <v>3729</v>
      </c>
      <c r="B31" s="80" t="s">
        <v>3730</v>
      </c>
    </row>
    <row customHeight="1" ht="11.25">
      <c r="A32" s="80" t="s">
        <v>3731</v>
      </c>
      <c r="B32" s="80" t="s">
        <v>3732</v>
      </c>
    </row>
    <row customHeight="1" ht="11.25">
      <c r="A33" s="80" t="s">
        <v>3733</v>
      </c>
      <c r="B33" s="80" t="s">
        <v>3734</v>
      </c>
    </row>
    <row customHeight="1" ht="11.25">
      <c r="A34" s="80" t="s">
        <v>3735</v>
      </c>
      <c r="B34" s="80" t="s">
        <v>3736</v>
      </c>
    </row>
    <row customHeight="1" ht="11.25">
      <c r="A35" s="80" t="s">
        <v>3737</v>
      </c>
      <c r="B35" s="80" t="s">
        <v>3738</v>
      </c>
    </row>
    <row customHeight="1" ht="11.25">
      <c r="A36" s="80" t="s">
        <v>3739</v>
      </c>
      <c r="B36" s="80" t="s">
        <v>3740</v>
      </c>
    </row>
    <row customHeight="1" ht="11.25">
      <c r="A37" s="80" t="s">
        <v>3741</v>
      </c>
      <c r="B37" s="80" t="s">
        <v>3742</v>
      </c>
    </row>
    <row customHeight="1" ht="11.25">
      <c r="A38" s="80" t="s">
        <v>3743</v>
      </c>
      <c r="B38" s="80" t="s">
        <v>3744</v>
      </c>
    </row>
    <row customHeight="1" ht="11.25">
      <c r="A39" s="80" t="s">
        <v>3745</v>
      </c>
      <c r="B39" s="80" t="s">
        <v>3746</v>
      </c>
    </row>
    <row customHeight="1" ht="11.25">
      <c r="A40" s="80" t="s">
        <v>3747</v>
      </c>
      <c r="B40" s="80" t="s">
        <v>3748</v>
      </c>
    </row>
    <row customHeight="1" ht="11.25">
      <c r="A41" s="80" t="s">
        <v>3749</v>
      </c>
      <c r="B41" s="80" t="s">
        <v>3750</v>
      </c>
    </row>
    <row customHeight="1" ht="11.25">
      <c r="A42" s="80" t="s">
        <v>3751</v>
      </c>
      <c r="B42" s="80" t="s">
        <v>3752</v>
      </c>
    </row>
    <row customHeight="1" ht="11.25">
      <c r="A43" s="80" t="s">
        <v>3753</v>
      </c>
      <c r="B43" s="80" t="s">
        <v>3754</v>
      </c>
    </row>
    <row customHeight="1" ht="11.25">
      <c r="A44" s="80" t="s">
        <v>3755</v>
      </c>
      <c r="B44" s="80" t="s">
        <v>3756</v>
      </c>
    </row>
    <row customHeight="1" ht="11.25">
      <c r="A45" s="80" t="s">
        <v>3757</v>
      </c>
      <c r="B45" s="80" t="s">
        <v>3758</v>
      </c>
    </row>
    <row customHeight="1" ht="11.25">
      <c r="A46" s="80" t="s">
        <v>3759</v>
      </c>
      <c r="B46" s="80" t="s">
        <v>3760</v>
      </c>
    </row>
    <row customHeight="1" ht="11.25">
      <c r="A47" s="80" t="s">
        <v>3761</v>
      </c>
      <c r="B47" s="80" t="s">
        <v>3762</v>
      </c>
    </row>
    <row customHeight="1" ht="11.25">
      <c r="A48" s="80" t="s">
        <v>3763</v>
      </c>
      <c r="B48" s="80" t="s">
        <v>3764</v>
      </c>
    </row>
    <row customHeight="1" ht="11.25">
      <c r="A49" s="80" t="s">
        <v>3765</v>
      </c>
      <c r="B49" s="80" t="s">
        <v>3766</v>
      </c>
    </row>
    <row customHeight="1" ht="11.25">
      <c r="A50" s="80" t="s">
        <v>3767</v>
      </c>
      <c r="B50" s="80" t="s">
        <v>3768</v>
      </c>
    </row>
    <row customHeight="1" ht="11.25">
      <c r="A51" s="80" t="s">
        <v>3769</v>
      </c>
      <c r="B51" s="80" t="s">
        <v>3770</v>
      </c>
    </row>
    <row customHeight="1" ht="11.25">
      <c r="A52" s="80" t="s">
        <v>3771</v>
      </c>
      <c r="B52" s="80" t="s">
        <v>3772</v>
      </c>
    </row>
    <row customHeight="1" ht="11.25">
      <c r="A53" s="80" t="s">
        <v>3773</v>
      </c>
      <c r="B53" s="80" t="s">
        <v>3774</v>
      </c>
    </row>
    <row customHeight="1" ht="11.25">
      <c r="A54" s="80" t="s">
        <v>3775</v>
      </c>
      <c r="B54" s="80" t="s">
        <v>3776</v>
      </c>
    </row>
    <row customHeight="1" ht="11.25">
      <c r="A55" s="80" t="s">
        <v>3777</v>
      </c>
      <c r="B55" s="80" t="s">
        <v>3778</v>
      </c>
    </row>
    <row customHeight="1" ht="11.25">
      <c r="A56" s="80" t="s">
        <v>3779</v>
      </c>
      <c r="B56" s="80" t="s">
        <v>3780</v>
      </c>
    </row>
    <row customHeight="1" ht="11.25">
      <c r="A57" s="80" t="s">
        <v>3781</v>
      </c>
      <c r="B57" s="80" t="s">
        <v>3782</v>
      </c>
    </row>
    <row customHeight="1" ht="11.25">
      <c r="A58" s="80" t="s">
        <v>3783</v>
      </c>
      <c r="B58" s="80" t="s">
        <v>3784</v>
      </c>
    </row>
    <row customHeight="1" ht="11.25">
      <c r="A59" s="80" t="s">
        <v>3785</v>
      </c>
      <c r="B59" s="80" t="s">
        <v>3786</v>
      </c>
    </row>
    <row customHeight="1" ht="11.25">
      <c r="A60" s="80" t="s">
        <v>3787</v>
      </c>
      <c r="B60" s="80" t="s">
        <v>3788</v>
      </c>
    </row>
    <row customHeight="1" ht="11.25">
      <c r="A61" s="80"/>
      <c r="B61" s="80" t="s">
        <v>3789</v>
      </c>
    </row>
    <row customHeight="1" ht="11.25">
      <c r="A62" s="80"/>
      <c r="B62" s="80" t="s">
        <v>3790</v>
      </c>
    </row>
    <row customHeight="1" ht="11.25">
      <c r="A63" s="80"/>
      <c r="B63" s="80" t="s">
        <v>3791</v>
      </c>
    </row>
    <row customHeight="1" ht="11.25">
      <c r="A64" s="80"/>
      <c r="B64" s="80" t="s">
        <v>3792</v>
      </c>
    </row>
    <row customHeight="1" ht="11.25">
      <c r="A65" s="80"/>
      <c r="B65" s="80" t="s">
        <v>3793</v>
      </c>
    </row>
    <row customHeight="1" ht="11.25">
      <c r="A66" s="80"/>
      <c r="B66" s="80" t="s">
        <v>3794</v>
      </c>
    </row>
    <row customHeight="1" ht="11.25">
      <c r="A67" s="80"/>
      <c r="B67" s="80" t="s">
        <v>3795</v>
      </c>
    </row>
    <row customHeight="1" ht="11.25">
      <c r="A68" s="80"/>
      <c r="B68" s="80" t="s">
        <v>3796</v>
      </c>
    </row>
    <row customHeight="1" ht="11.25">
      <c r="A69" s="80"/>
      <c r="B69" s="80" t="s">
        <v>3797</v>
      </c>
    </row>
    <row customHeight="1" ht="11.25">
      <c r="A70" s="80"/>
      <c r="B70" s="80" t="s">
        <v>3798</v>
      </c>
    </row>
    <row customHeight="1" ht="11.25">
      <c r="A71" s="80"/>
      <c r="B71" s="80"/>
    </row>
    <row customHeight="1" ht="11.25">
      <c r="A72" s="80"/>
      <c r="B72" s="80"/>
    </row>
    <row customHeight="1" ht="11.25">
      <c r="A73" s="80"/>
      <c r="B73" s="80"/>
    </row>
    <row customHeight="1" ht="11.25">
      <c r="A74" s="80"/>
      <c r="B74" s="80"/>
    </row>
    <row customHeight="1" ht="11.25">
      <c r="A75" s="80"/>
      <c r="B75" s="80"/>
    </row>
    <row customHeight="1" ht="11.25">
      <c r="A76" s="80"/>
      <c r="B76" s="80"/>
    </row>
    <row customHeight="1" ht="11.25">
      <c r="A77" s="80"/>
      <c r="B77" s="80"/>
    </row>
    <row customHeight="1" ht="11.25">
      <c r="A78" s="80"/>
      <c r="B78" s="80"/>
    </row>
    <row customHeight="1" ht="11.25">
      <c r="A79" s="80"/>
      <c r="B79" s="80"/>
    </row>
    <row customHeight="1" ht="11.25">
      <c r="A80" s="80"/>
      <c r="B80" s="80"/>
    </row>
    <row customHeight="1" ht="11.25">
      <c r="A81" s="80"/>
      <c r="B81" s="80"/>
    </row>
    <row customHeight="1" ht="11.25">
      <c r="A82" s="80"/>
      <c r="B82" s="80"/>
    </row>
    <row customHeight="1" ht="11.25">
      <c r="A83" s="80"/>
      <c r="B83" s="80"/>
    </row>
    <row customHeight="1" ht="11.25">
      <c r="A84" s="80"/>
      <c r="B84" s="80"/>
    </row>
    <row customHeight="1" ht="11.25">
      <c r="A85" s="80"/>
      <c r="B85" s="80"/>
    </row>
    <row customHeight="1" ht="11.25">
      <c r="A86" s="80"/>
      <c r="B86" s="80"/>
    </row>
    <row customHeight="1" ht="11.25">
      <c r="A87" s="80"/>
      <c r="B87" s="80"/>
    </row>
    <row customHeight="1" ht="11.25">
      <c r="A88" s="80"/>
      <c r="B88" s="80"/>
    </row>
    <row customHeight="1" ht="11.25">
      <c r="A89" s="80"/>
      <c r="B89" s="80"/>
    </row>
    <row customHeight="1" ht="11.25">
      <c r="A90" s="80"/>
      <c r="B90" s="80"/>
    </row>
    <row customHeight="1" ht="11.25">
      <c r="A91" s="80"/>
      <c r="B91" s="80"/>
    </row>
    <row customHeight="1" ht="11.25">
      <c r="A92" s="80"/>
      <c r="B92" s="80"/>
    </row>
    <row customHeight="1" ht="11.25">
      <c r="A93" s="80"/>
      <c r="B93" s="80"/>
    </row>
    <row customHeight="1" ht="11.25">
      <c r="A94" s="80"/>
      <c r="B94" s="80"/>
    </row>
    <row customHeight="1" ht="11.25">
      <c r="A95" s="80"/>
      <c r="B95" s="80"/>
    </row>
    <row customHeight="1" ht="11.25">
      <c r="A96" s="80"/>
      <c r="B96" s="80"/>
    </row>
    <row customHeight="1" ht="11.25">
      <c r="A97" s="80"/>
      <c r="B97" s="80"/>
    </row>
    <row customHeight="1" ht="11.25">
      <c r="A98" s="80"/>
      <c r="B98" s="80"/>
    </row>
    <row customHeight="1" ht="11.25">
      <c r="A99" s="80"/>
      <c r="B99" s="80"/>
    </row>
    <row customHeight="1" ht="11.25">
      <c r="A100" s="80"/>
      <c r="B100" s="80"/>
    </row>
    <row customHeight="1" ht="11.25">
      <c r="A101" s="80"/>
      <c r="B101" s="80"/>
    </row>
    <row customHeight="1" ht="11.25">
      <c r="A102" s="80"/>
      <c r="B102" s="80"/>
    </row>
    <row customHeight="1" ht="11.25">
      <c r="A103" s="80"/>
      <c r="B103" s="80"/>
    </row>
    <row customHeight="1" ht="11.25">
      <c r="A104" s="80"/>
      <c r="B104" s="80"/>
    </row>
    <row customHeight="1" ht="11.25">
      <c r="A105" s="80"/>
      <c r="B105" s="80"/>
    </row>
    <row customHeight="1" ht="11.25">
      <c r="A106" s="80"/>
      <c r="B106" s="80"/>
    </row>
    <row customHeight="1" ht="11.25">
      <c r="A107" s="80"/>
      <c r="B107" s="80"/>
    </row>
    <row customHeight="1" ht="11.25">
      <c r="A108" s="80"/>
      <c r="B108" s="80"/>
    </row>
    <row customHeight="1" ht="11.25">
      <c r="A109" s="80"/>
      <c r="B109" s="80"/>
    </row>
    <row customHeight="1" ht="11.25">
      <c r="A110" s="80"/>
      <c r="B110" s="80"/>
    </row>
    <row customHeight="1" ht="11.25">
      <c r="A111" s="80"/>
      <c r="B111" s="80"/>
    </row>
    <row customHeight="1" ht="11.25">
      <c r="A112" s="80"/>
      <c r="B112" s="80"/>
    </row>
    <row customHeight="1" ht="11.25">
      <c r="A113" s="80"/>
      <c r="B113" s="80"/>
    </row>
    <row customHeight="1" ht="11.25">
      <c r="A114" s="80"/>
      <c r="B114" s="80"/>
    </row>
    <row customHeight="1" ht="11.25">
      <c r="A115" s="80"/>
      <c r="B115" s="80"/>
    </row>
    <row customHeight="1" ht="11.25">
      <c r="A116" s="80"/>
      <c r="B116" s="80"/>
    </row>
    <row customHeight="1" ht="11.25">
      <c r="A117" s="80"/>
      <c r="B117" s="80"/>
    </row>
    <row customHeight="1" ht="11.25">
      <c r="A118" s="80"/>
      <c r="B118" s="80"/>
    </row>
    <row customHeight="1" ht="11.25">
      <c r="A119" s="80"/>
      <c r="B119" s="80"/>
    </row>
    <row customHeight="1" ht="11.25">
      <c r="A120" s="80"/>
      <c r="B120" s="80"/>
    </row>
    <row customHeight="1" ht="11.25">
      <c r="A121" s="80"/>
      <c r="B121" s="80"/>
    </row>
    <row customHeight="1" ht="11.25">
      <c r="A122" s="80"/>
      <c r="B122" s="80"/>
    </row>
    <row customHeight="1" ht="11.25">
      <c r="A123" s="80"/>
      <c r="B123" s="80"/>
    </row>
    <row customHeight="1" ht="11.25">
      <c r="A124" s="80"/>
      <c r="B124" s="80"/>
    </row>
    <row customHeight="1" ht="11.25">
      <c r="A125" s="80"/>
      <c r="B125" s="80"/>
    </row>
    <row customHeight="1" ht="11.25">
      <c r="A126" s="80"/>
      <c r="B126" s="80"/>
    </row>
    <row customHeight="1" ht="11.25">
      <c r="A127" s="80"/>
      <c r="B127" s="80"/>
    </row>
    <row customHeight="1" ht="11.25">
      <c r="A128" s="80"/>
      <c r="B128" s="80"/>
    </row>
    <row customHeight="1" ht="11.25">
      <c r="A129" s="80"/>
      <c r="B129" s="80"/>
    </row>
    <row customHeight="1" ht="11.25">
      <c r="A130" s="80"/>
      <c r="B130" s="80"/>
    </row>
    <row customHeight="1" ht="11.25">
      <c r="A131" s="80"/>
      <c r="B131" s="80"/>
    </row>
    <row customHeight="1" ht="11.25">
      <c r="A132" s="80"/>
      <c r="B132" s="80"/>
    </row>
    <row customHeight="1" ht="11.25">
      <c r="A133" s="80"/>
      <c r="B133" s="80"/>
    </row>
    <row customHeight="1" ht="11.25">
      <c r="A134" s="80"/>
      <c r="B134" s="80"/>
    </row>
    <row customHeight="1" ht="11.25">
      <c r="A135" s="80"/>
      <c r="B135" s="80"/>
    </row>
    <row customHeight="1" ht="11.25">
      <c r="A136" s="80"/>
      <c r="B136" s="80"/>
    </row>
    <row customHeight="1" ht="11.25">
      <c r="A137" s="80"/>
      <c r="B137" s="80"/>
    </row>
    <row customHeight="1" ht="11.25">
      <c r="A138" s="80"/>
      <c r="B138" s="80"/>
    </row>
    <row customHeight="1" ht="11.25">
      <c r="A139" s="80"/>
      <c r="B139" s="80"/>
    </row>
    <row customHeight="1" ht="11.25">
      <c r="A140" s="80"/>
      <c r="B140" s="80"/>
    </row>
    <row customHeight="1" ht="11.25">
      <c r="A141" s="80"/>
      <c r="B141" s="80"/>
    </row>
    <row customHeight="1" ht="11.25">
      <c r="A142" s="80"/>
      <c r="B142" s="80"/>
    </row>
    <row customHeight="1" ht="11.25">
      <c r="A143" s="80"/>
      <c r="B143" s="80"/>
    </row>
    <row customHeight="1" ht="11.25">
      <c r="A144" s="80"/>
      <c r="B144" s="80"/>
    </row>
    <row customHeight="1" ht="11.25">
      <c r="A145" s="80"/>
      <c r="B145" s="80"/>
    </row>
    <row customHeight="1" ht="11.25">
      <c r="A146" s="80"/>
      <c r="B146" s="80"/>
    </row>
    <row customHeight="1" ht="11.25">
      <c r="A147" s="80"/>
      <c r="B147" s="80"/>
    </row>
    <row customHeight="1" ht="11.25">
      <c r="A148" s="80"/>
      <c r="B148" s="80"/>
    </row>
    <row customHeight="1" ht="11.25">
      <c r="A149" s="80"/>
      <c r="B149" s="80"/>
    </row>
    <row customHeight="1" ht="11.25">
      <c r="A150" s="80"/>
      <c r="B150" s="80"/>
    </row>
    <row customHeight="1" ht="11.25">
      <c r="A151" s="80"/>
      <c r="B151" s="80"/>
    </row>
    <row customHeight="1" ht="11.25">
      <c r="A152" s="80"/>
      <c r="B152" s="80"/>
    </row>
    <row customHeight="1" ht="11.25">
      <c r="A153" s="80"/>
      <c r="B153" s="80"/>
    </row>
    <row customHeight="1" ht="11.25">
      <c r="A154" s="80"/>
      <c r="B154" s="80"/>
    </row>
    <row customHeight="1" ht="11.25">
      <c r="A155" s="80"/>
      <c r="B155" s="80"/>
    </row>
    <row customHeight="1" ht="11.25">
      <c r="A156" s="80"/>
      <c r="B156" s="80"/>
    </row>
    <row customHeight="1" ht="11.25">
      <c r="A157" s="80"/>
      <c r="B157" s="80"/>
    </row>
    <row customHeight="1" ht="11.25">
      <c r="A158" s="80"/>
      <c r="B158" s="80"/>
    </row>
    <row customHeight="1" ht="11.25">
      <c r="A159" s="80"/>
      <c r="B159" s="80"/>
    </row>
    <row customHeight="1" ht="11.25">
      <c r="A160" s="80"/>
      <c r="B160" s="80"/>
    </row>
    <row customHeight="1" ht="11.25">
      <c r="A161" s="80"/>
      <c r="B161" s="80"/>
    </row>
    <row customHeight="1" ht="11.25">
      <c r="A162" s="80"/>
      <c r="B162" s="80"/>
    </row>
    <row customHeight="1" ht="11.25">
      <c r="A163" s="80"/>
      <c r="B163" s="80"/>
    </row>
    <row customHeight="1" ht="11.25">
      <c r="A164" s="80"/>
      <c r="B164" s="80"/>
    </row>
    <row customHeight="1" ht="11.25">
      <c r="A165" s="80"/>
      <c r="B165" s="80"/>
    </row>
    <row customHeight="1" ht="11.25">
      <c r="A166" s="80"/>
      <c r="B166" s="80"/>
    </row>
    <row customHeight="1" ht="11.25">
      <c r="A167" s="80"/>
      <c r="B167" s="80"/>
    </row>
    <row customHeight="1" ht="11.25">
      <c r="A168" s="80"/>
      <c r="B168" s="80"/>
    </row>
    <row customHeight="1" ht="11.25">
      <c r="A169" s="80"/>
      <c r="B169" s="80"/>
    </row>
    <row customHeight="1" ht="11.25">
      <c r="A170" s="80"/>
      <c r="B170" s="80"/>
    </row>
    <row customHeight="1" ht="11.25">
      <c r="A171" s="80"/>
      <c r="B171" s="80"/>
    </row>
    <row customHeight="1" ht="11.25">
      <c r="A172" s="80"/>
      <c r="B172" s="80"/>
    </row>
    <row customHeight="1" ht="11.25">
      <c r="A173" s="80"/>
      <c r="B173" s="80"/>
    </row>
    <row customHeight="1" ht="11.25">
      <c r="A174" s="80"/>
      <c r="B174" s="80"/>
    </row>
    <row customHeight="1" ht="11.25">
      <c r="A175" s="80"/>
      <c r="B175" s="80"/>
    </row>
    <row customHeight="1" ht="11.25">
      <c r="A176" s="80"/>
      <c r="B176" s="80"/>
    </row>
    <row customHeight="1" ht="11.25">
      <c r="A177" s="80"/>
      <c r="B177" s="80"/>
    </row>
    <row customHeight="1" ht="11.25">
      <c r="A178" s="80"/>
      <c r="B178" s="80"/>
    </row>
    <row customHeight="1" ht="11.25">
      <c r="A179" s="80"/>
      <c r="B179" s="80"/>
    </row>
    <row customHeight="1" ht="11.25">
      <c r="A180" s="80"/>
      <c r="B180" s="80"/>
    </row>
    <row customHeight="1" ht="11.25">
      <c r="A181" s="80"/>
      <c r="B181" s="80"/>
    </row>
    <row customHeight="1" ht="11.25">
      <c r="A182" s="80"/>
      <c r="B182" s="80"/>
    </row>
    <row customHeight="1" ht="11.25">
      <c r="A183" s="80"/>
      <c r="B183" s="80"/>
    </row>
    <row customHeight="1" ht="11.25">
      <c r="A184" s="80"/>
      <c r="B184" s="80"/>
    </row>
    <row customHeight="1" ht="11.25">
      <c r="A185" s="80"/>
      <c r="B185" s="80"/>
    </row>
    <row customHeight="1" ht="11.25">
      <c r="A186" s="80"/>
      <c r="B186" s="80"/>
    </row>
    <row customHeight="1" ht="11.25">
      <c r="A187" s="80"/>
      <c r="B187" s="80"/>
    </row>
    <row customHeight="1" ht="11.25">
      <c r="A188" s="80"/>
      <c r="B188" s="80"/>
    </row>
    <row customHeight="1" ht="11.25">
      <c r="A189" s="80"/>
      <c r="B189" s="80"/>
    </row>
    <row customHeight="1" ht="11.25">
      <c r="A190" s="80"/>
      <c r="B190" s="80"/>
    </row>
    <row customHeight="1" ht="11.25">
      <c r="A191" s="80"/>
      <c r="B191" s="80"/>
    </row>
    <row customHeight="1" ht="11.25">
      <c r="A192" s="80"/>
      <c r="B192" s="80"/>
    </row>
    <row customHeight="1" ht="11.25">
      <c r="A193" s="80"/>
      <c r="B193" s="80"/>
    </row>
    <row customHeight="1" ht="11.25">
      <c r="A194" s="80"/>
      <c r="B194" s="80"/>
    </row>
    <row customHeight="1" ht="11.25">
      <c r="A195" s="80"/>
      <c r="B195" s="80"/>
    </row>
    <row customHeight="1" ht="11.25">
      <c r="A196" s="80"/>
      <c r="B196" s="80"/>
    </row>
    <row customHeight="1" ht="11.25">
      <c r="A197" s="80"/>
      <c r="B197" s="80"/>
    </row>
    <row customHeight="1" ht="11.25">
      <c r="A198" s="80"/>
      <c r="B198" s="80"/>
    </row>
    <row customHeight="1" ht="11.25">
      <c r="A199" s="80"/>
      <c r="B199" s="80"/>
    </row>
    <row customHeight="1" ht="11.25">
      <c r="A200" s="80"/>
      <c r="B200" s="80"/>
    </row>
    <row customHeight="1" ht="11.25">
      <c r="A201" s="80"/>
      <c r="B201" s="80"/>
    </row>
    <row customHeight="1" ht="11.25">
      <c r="A202" s="80"/>
      <c r="B202" s="80"/>
    </row>
    <row customHeight="1" ht="11.25">
      <c r="A203" s="80"/>
      <c r="B203" s="80"/>
    </row>
    <row customHeight="1" ht="11.25">
      <c r="A204" s="80"/>
      <c r="B204" s="80"/>
    </row>
    <row customHeight="1" ht="11.25">
      <c r="A205" s="80"/>
      <c r="B205" s="80"/>
    </row>
    <row customHeight="1" ht="11.25">
      <c r="A206" s="80"/>
      <c r="B206" s="80"/>
    </row>
    <row customHeight="1" ht="11.25">
      <c r="A207" s="80"/>
      <c r="B207" s="80"/>
    </row>
    <row customHeight="1" ht="11.25">
      <c r="A208" s="80"/>
      <c r="B208" s="80"/>
    </row>
    <row customHeight="1" ht="11.25">
      <c r="A209" s="80"/>
      <c r="B209" s="80"/>
    </row>
    <row customHeight="1" ht="11.25">
      <c r="A210" s="80"/>
      <c r="B210" s="80"/>
    </row>
    <row customHeight="1" ht="11.25">
      <c r="A211" s="80"/>
      <c r="B211" s="80"/>
    </row>
    <row customHeight="1" ht="11.25">
      <c r="A212" s="80"/>
      <c r="B212" s="80"/>
    </row>
    <row customHeight="1" ht="11.25">
      <c r="A213" s="80"/>
      <c r="B213" s="80"/>
    </row>
    <row customHeight="1" ht="11.25">
      <c r="A214" s="80"/>
      <c r="B214" s="80"/>
    </row>
    <row customHeight="1" ht="11.25">
      <c r="A215" s="80"/>
      <c r="B215" s="80"/>
    </row>
    <row customHeight="1" ht="11.25">
      <c r="A216" s="80"/>
      <c r="B216" s="80"/>
    </row>
    <row customHeight="1" ht="11.25">
      <c r="A217" s="80"/>
      <c r="B217" s="80"/>
    </row>
    <row customHeight="1" ht="11.25">
      <c r="A218" s="80"/>
      <c r="B218" s="80"/>
    </row>
    <row customHeight="1" ht="11.25">
      <c r="A219" s="80"/>
      <c r="B219" s="80"/>
    </row>
    <row customHeight="1" ht="11.25">
      <c r="A220" s="80"/>
      <c r="B220" s="80"/>
    </row>
    <row customHeight="1" ht="11.25">
      <c r="A221" s="80"/>
      <c r="B221" s="80"/>
    </row>
    <row customHeight="1" ht="11.25">
      <c r="A222" s="80"/>
      <c r="B222" s="80"/>
    </row>
    <row customHeight="1" ht="11.25">
      <c r="A223" s="80"/>
      <c r="B223" s="80"/>
    </row>
    <row customHeight="1" ht="11.25">
      <c r="A224" s="80"/>
      <c r="B224" s="80"/>
    </row>
    <row customHeight="1" ht="11.25">
      <c r="A225" s="80"/>
      <c r="B225" s="80"/>
    </row>
    <row customHeight="1" ht="11.25">
      <c r="A226" s="80"/>
      <c r="B226" s="80"/>
    </row>
    <row customHeight="1" ht="11.25">
      <c r="A227" s="80"/>
      <c r="B227" s="80"/>
    </row>
    <row customHeight="1" ht="11.25">
      <c r="A228" s="80"/>
      <c r="B228" s="80"/>
    </row>
    <row customHeight="1" ht="11.25">
      <c r="A229" s="80"/>
      <c r="B229" s="80"/>
    </row>
    <row customHeight="1" ht="11.25">
      <c r="A230" s="80"/>
      <c r="B230" s="80"/>
    </row>
    <row customHeight="1" ht="11.25">
      <c r="A231" s="80"/>
      <c r="B231" s="80"/>
    </row>
    <row customHeight="1" ht="11.25">
      <c r="A232" s="80"/>
      <c r="B232" s="80"/>
    </row>
    <row customHeight="1" ht="11.25">
      <c r="A233" s="80"/>
      <c r="B233" s="80"/>
    </row>
    <row customHeight="1" ht="11.25">
      <c r="A234" s="80"/>
      <c r="B234" s="80"/>
    </row>
    <row customHeight="1" ht="11.25">
      <c r="A235" s="80"/>
      <c r="B235" s="80"/>
    </row>
    <row customHeight="1" ht="11.25">
      <c r="A236" s="80"/>
      <c r="B236" s="80"/>
    </row>
    <row customHeight="1" ht="11.25">
      <c r="A237" s="80"/>
      <c r="B237" s="80"/>
    </row>
    <row customHeight="1" ht="11.25">
      <c r="A238" s="80"/>
      <c r="B238" s="80"/>
    </row>
    <row customHeight="1" ht="11.25">
      <c r="A239" s="80"/>
      <c r="B239" s="80"/>
    </row>
    <row customHeight="1" ht="11.25">
      <c r="A240" s="80"/>
      <c r="B240" s="80"/>
    </row>
    <row customHeight="1" ht="11.25">
      <c r="A241" s="80"/>
      <c r="B241" s="80"/>
    </row>
    <row customHeight="1" ht="11.25">
      <c r="A242" s="80"/>
      <c r="B242" s="80"/>
    </row>
    <row customHeight="1" ht="11.25">
      <c r="A243" s="80"/>
      <c r="B243" s="80"/>
    </row>
    <row customHeight="1" ht="11.25">
      <c r="A244" s="80"/>
      <c r="B244" s="80"/>
    </row>
    <row customHeight="1" ht="11.25">
      <c r="A245" s="80"/>
      <c r="B245" s="80"/>
    </row>
    <row customHeight="1" ht="11.25">
      <c r="A246" s="80"/>
      <c r="B246" s="80"/>
    </row>
    <row customHeight="1" ht="11.25">
      <c r="A247" s="80"/>
      <c r="B247" s="80"/>
    </row>
    <row customHeight="1" ht="11.25">
      <c r="A248" s="80"/>
      <c r="B248" s="80"/>
    </row>
    <row customHeight="1" ht="11.25">
      <c r="A249" s="80"/>
      <c r="B249" s="80"/>
    </row>
    <row customHeight="1" ht="11.25">
      <c r="A250" s="80"/>
      <c r="B250" s="80"/>
    </row>
    <row customHeight="1" ht="11.25">
      <c r="A251" s="80"/>
      <c r="B251" s="80"/>
    </row>
    <row customHeight="1" ht="11.25">
      <c r="A252" s="80"/>
      <c r="B252" s="80"/>
    </row>
    <row customHeight="1" ht="11.25">
      <c r="A253" s="80"/>
      <c r="B253" s="8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0DB25-464B-16E4-1145-782F9FBA03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6" width="3.7109375" customWidth="1"/>
    <col min="2" max="2" style="1866" width="90.7109375" customWidth="1"/>
    <col min="3" max="4" style="1866" width="9.140625"/>
  </cols>
  <sheetData>
    <row customHeight="1" ht="11.25">
      <c r="B1" s="109" t="s">
        <v>3799</v>
      </c>
    </row>
    <row customHeight="1" ht="90">
      <c r="B2" s="110" t="s">
        <v>3800</v>
      </c>
    </row>
    <row customHeight="1" ht="67.5">
      <c r="B3" s="110" t="s">
        <v>3801</v>
      </c>
    </row>
    <row customHeight="1" ht="33.75">
      <c r="B4" s="110" t="s">
        <v>3802</v>
      </c>
    </row>
    <row customHeight="1" ht="11.25">
      <c r="B5" s="110" t="s">
        <v>3803</v>
      </c>
    </row>
    <row customHeight="1" ht="22.5">
      <c r="B6" s="110" t="s">
        <v>3804</v>
      </c>
    </row>
    <row customHeight="1" ht="22.5">
      <c r="B7" s="110" t="s">
        <v>3805</v>
      </c>
    </row>
    <row customHeight="1" ht="22.5">
      <c r="B8" s="110" t="s">
        <v>3806</v>
      </c>
    </row>
    <row customHeight="1" ht="22.5">
      <c r="B9" s="110" t="s">
        <v>3807</v>
      </c>
    </row>
    <row customHeight="1" ht="56.25">
      <c r="B10" s="110" t="s">
        <v>3808</v>
      </c>
    </row>
    <row customHeight="1" ht="12.75">
      <c r="B11" s="175" t="s">
        <v>3809</v>
      </c>
    </row>
    <row customHeight="1" ht="11.25">
      <c r="B12" s="109" t="s">
        <v>3810</v>
      </c>
    </row>
    <row customHeight="1" ht="22.5">
      <c r="B13" s="110" t="s">
        <v>3811</v>
      </c>
    </row>
    <row customHeight="1" ht="67.5">
      <c r="B14" s="110" t="s">
        <v>3812</v>
      </c>
    </row>
    <row customHeight="1" ht="22.5">
      <c r="B15" s="110" t="s">
        <v>3813</v>
      </c>
    </row>
    <row customHeight="1" ht="11.25">
      <c r="B16" s="109" t="s">
        <v>3814</v>
      </c>
      <c r="D16" s="116"/>
    </row>
    <row customHeight="1" ht="33.75">
      <c r="B17" s="110" t="s">
        <v>3815</v>
      </c>
    </row>
    <row customHeight="1" ht="33.75">
      <c r="B18" s="110" t="s">
        <v>3816</v>
      </c>
    </row>
    <row customHeight="1" ht="11.25">
      <c r="B19" s="110" t="s">
        <v>3817</v>
      </c>
    </row>
    <row customHeight="1" ht="33.75">
      <c r="B20" s="110" t="s">
        <v>3818</v>
      </c>
    </row>
    <row customHeight="1" ht="11.25">
      <c r="B21" s="109" t="s">
        <v>3819</v>
      </c>
    </row>
    <row customHeight="1" ht="11.25">
      <c r="B22" s="110" t="s">
        <v>3820</v>
      </c>
    </row>
    <row r="24" customHeight="1" ht="22.5">
      <c r="B24" s="177" t="s">
        <v>3821</v>
      </c>
    </row>
    <row r="26" customHeight="1" ht="11.25">
      <c r="B26" s="109" t="s">
        <v>3822</v>
      </c>
    </row>
    <row customHeight="1" ht="22.5">
      <c r="B27" s="176" t="s">
        <v>549</v>
      </c>
    </row>
    <row customHeight="1" ht="56.25">
      <c r="B28" s="176" t="s">
        <v>3823</v>
      </c>
    </row>
    <row customHeight="1" ht="11.25">
      <c r="B29" s="226" t="s">
        <v>3824</v>
      </c>
    </row>
    <row customHeight="1" ht="22.5">
      <c r="B30" s="176" t="s">
        <v>3825</v>
      </c>
    </row>
    <row r="32" customHeight="1" ht="11.25">
      <c r="A32" s="204"/>
      <c r="B32" s="205" t="s">
        <v>3826</v>
      </c>
    </row>
    <row customHeight="1" ht="14.25">
      <c r="A33" s="206">
        <v>1</v>
      </c>
      <c r="B33" s="207" t="s">
        <v>3827</v>
      </c>
    </row>
    <row customHeight="1" ht="14.25">
      <c r="A34" s="206">
        <v>2</v>
      </c>
      <c r="B34" s="207" t="s">
        <v>3828</v>
      </c>
    </row>
    <row customHeight="1" ht="11.25">
      <c r="B35" s="205" t="s">
        <v>3829</v>
      </c>
    </row>
    <row customHeight="1" ht="11.25">
      <c r="B36" s="207" t="s">
        <v>3830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4515A-EB51-70F4-E18E-44BF04D249E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8" width="9.140625" hidden="1" customWidth="1"/>
    <col min="2" max="2" style="1651" width="9.140625" hidden="1" customWidth="1"/>
    <col min="3" max="3" style="1858" width="3.00390625" customWidth="1"/>
    <col min="4" max="4" style="1651" width="5.00390625" customWidth="1"/>
    <col min="5" max="5" style="1651" width="38.00390625" customWidth="1"/>
    <col min="6" max="7" style="1651" width="3.00390625" customWidth="1"/>
    <col min="8" max="8" style="1651" width="38.00390625" customWidth="1"/>
    <col min="9" max="9" style="1651" width="35.00390625" customWidth="1"/>
    <col min="10" max="10" style="1651" width="103.00390625" customWidth="1"/>
    <col min="11" max="11" style="1835" width="3.00390625" customWidth="1"/>
    <col min="12" max="14" style="1658" width="10.00390625" customWidth="1"/>
    <col min="15" max="15" style="1658" width="13.00390625" customWidth="1"/>
    <col min="16" max="16" style="1658" width="15.00390625" customWidth="1"/>
    <col min="17" max="17" style="1658" width="16.00390625" customWidth="1"/>
    <col min="18" max="21" style="1658" width="10.00390625" customWidth="1"/>
    <col min="22" max="22" style="1651" width="10.57421875" hidden="1"/>
  </cols>
  <sheetData>
    <row customHeight="1" ht="22.5" hidden="1">
      <c r="E1" s="428"/>
      <c r="F1" s="428"/>
      <c r="G1" s="428"/>
      <c r="H1" s="2233" t="s">
        <v>505</v>
      </c>
      <c r="I1" s="2233"/>
      <c r="V1" s="1623" t="s">
        <v>14</v>
      </c>
    </row>
    <row s="1651" customFormat="1" customHeight="1" ht="14.25" hidden="1">
      <c r="C2" s="1635"/>
      <c r="D2" s="2249" t="s">
        <v>141</v>
      </c>
      <c r="E2" s="2251"/>
      <c r="F2" s="1641"/>
      <c r="G2" s="1636" t="s">
        <v>141</v>
      </c>
      <c r="H2" s="1639"/>
      <c r="I2" s="1637"/>
      <c r="L2" s="1638"/>
      <c r="M2" s="1638"/>
      <c r="N2" s="1638"/>
      <c r="O2" s="1638" t="s">
        <v>535</v>
      </c>
      <c r="P2" s="1638"/>
      <c r="Q2" s="1638"/>
      <c r="R2" s="1640" t="s">
        <v>534</v>
      </c>
      <c r="S2" s="1640" t="s">
        <v>534</v>
      </c>
      <c r="T2" s="1638"/>
      <c r="U2" s="1638"/>
      <c r="V2" s="1634">
        <v>0</v>
      </c>
    </row>
    <row s="1651" customFormat="1" customHeight="1" ht="14.25" hidden="1">
      <c r="C3" s="1635"/>
      <c r="D3" s="2250"/>
      <c r="E3" s="2252"/>
      <c r="F3" s="421"/>
      <c r="G3" s="885"/>
      <c r="H3" s="885" t="s">
        <v>536</v>
      </c>
      <c r="I3" s="329"/>
      <c r="L3" s="1638"/>
      <c r="M3" s="1638"/>
      <c r="N3" s="1638"/>
      <c r="O3" s="1638"/>
      <c r="P3" s="1638"/>
      <c r="Q3" s="1638"/>
      <c r="R3" s="1640"/>
      <c r="S3" s="1640"/>
      <c r="T3" s="1638"/>
      <c r="U3" s="1638"/>
      <c r="V3" s="1634">
        <v>0</v>
      </c>
    </row>
    <row customHeight="1" ht="14.25" hidden="1">
      <c r="V4" s="1623">
        <v>0</v>
      </c>
    </row>
    <row s="1629" customFormat="1" customHeight="1" ht="5.25">
      <c r="C5" s="717"/>
      <c r="D5" s="718"/>
      <c r="E5" s="718"/>
      <c r="F5" s="718"/>
      <c r="G5" s="718"/>
      <c r="H5" s="718" t="s">
        <v>509</v>
      </c>
      <c r="I5" s="718"/>
      <c r="J5" s="718"/>
      <c r="L5" s="1630"/>
      <c r="M5" s="1630"/>
      <c r="N5" s="1630"/>
      <c r="O5" s="1630"/>
      <c r="P5" s="1630"/>
      <c r="Q5" s="1630"/>
      <c r="R5" s="1630"/>
      <c r="S5" s="1630"/>
      <c r="T5" s="1630"/>
      <c r="U5" s="1630"/>
      <c r="V5" s="1629">
        <v>5</v>
      </c>
    </row>
    <row customHeight="1" ht="29.25">
      <c r="C6" s="1532"/>
      <c r="D6" s="2253" t="s">
        <v>537</v>
      </c>
      <c r="E6" s="2253"/>
      <c r="F6" s="2253"/>
      <c r="G6" s="2253"/>
      <c r="H6" s="2253"/>
      <c r="I6" s="2253"/>
      <c r="J6" s="507"/>
      <c r="K6" s="1631"/>
      <c r="V6" s="1623">
        <v>28</v>
      </c>
    </row>
    <row customHeight="1" ht="18">
      <c r="C7" s="1532"/>
      <c r="D7" s="2192" t="str">
        <f>IF(org=0,"Не определено",org)</f>
        <v>КГУП "Примтеплоэнерго"</v>
      </c>
      <c r="E7" s="2192"/>
      <c r="F7" s="2192"/>
      <c r="G7" s="2192"/>
      <c r="H7" s="2192"/>
      <c r="I7" s="2192"/>
      <c r="J7" s="507"/>
      <c r="K7" s="1631"/>
      <c r="V7" s="1623">
        <v>17</v>
      </c>
    </row>
    <row s="1628" customFormat="1" customHeight="1" ht="5.25">
      <c r="A8" s="1627"/>
      <c r="C8" s="502"/>
      <c r="D8" s="501"/>
      <c r="E8" s="501"/>
      <c r="F8" s="501"/>
      <c r="G8" s="501"/>
      <c r="H8" s="501"/>
      <c r="I8" s="501"/>
      <c r="J8" s="501"/>
      <c r="L8" s="1630"/>
      <c r="M8" s="1630"/>
      <c r="N8" s="1630"/>
      <c r="O8" s="1630"/>
      <c r="P8" s="1630"/>
      <c r="Q8" s="1630"/>
      <c r="R8" s="1630"/>
      <c r="S8" s="1630"/>
      <c r="T8" s="1630"/>
      <c r="U8" s="1630"/>
      <c r="V8" s="1628">
        <v>5</v>
      </c>
    </row>
    <row s="1628" customFormat="1" customHeight="1" ht="5.25">
      <c r="A9" s="1627"/>
      <c r="C9" s="502"/>
      <c r="D9" s="501"/>
      <c r="E9" s="501"/>
      <c r="F9" s="501"/>
      <c r="G9" s="501"/>
      <c r="H9" s="501"/>
      <c r="I9" s="501"/>
      <c r="J9" s="501"/>
      <c r="L9" s="1638"/>
      <c r="M9" s="1638"/>
      <c r="N9" s="1638"/>
      <c r="O9" s="1638"/>
      <c r="P9" s="1638"/>
      <c r="Q9" s="1638"/>
      <c r="R9" s="1638"/>
      <c r="S9" s="1638"/>
      <c r="T9" s="1638"/>
      <c r="U9" s="1638"/>
      <c r="V9" s="1628">
        <v>5</v>
      </c>
    </row>
    <row customHeight="1" ht="14.699999999999998">
      <c r="C10" s="1532"/>
      <c r="D10" s="2234" t="s">
        <v>453</v>
      </c>
      <c r="E10" s="2235"/>
      <c r="F10" s="2235"/>
      <c r="G10" s="2235"/>
      <c r="H10" s="2235"/>
      <c r="I10" s="2235"/>
      <c r="J10" s="2239" t="s">
        <v>454</v>
      </c>
      <c r="V10" s="1623">
        <v>14</v>
      </c>
    </row>
    <row customHeight="1" ht="27.299999999999997">
      <c r="C11" s="1532"/>
      <c r="D11" s="2143" t="s">
        <v>91</v>
      </c>
      <c r="E11" s="2239" t="s">
        <v>178</v>
      </c>
      <c r="F11" s="2208" t="s">
        <v>91</v>
      </c>
      <c r="G11" s="2209"/>
      <c r="H11" s="2191" t="s">
        <v>538</v>
      </c>
      <c r="I11" s="2191" t="s">
        <v>539</v>
      </c>
      <c r="J11" s="2239"/>
      <c r="V11" s="1623">
        <v>26</v>
      </c>
    </row>
    <row customHeight="1" ht="14.699999999999998">
      <c r="C12" s="1532"/>
      <c r="D12" s="2143"/>
      <c r="E12" s="2239"/>
      <c r="F12" s="2216"/>
      <c r="G12" s="2217"/>
      <c r="H12" s="2248"/>
      <c r="I12" s="2248"/>
      <c r="J12" s="2239"/>
      <c r="V12" s="1623">
        <v>14</v>
      </c>
    </row>
    <row s="1657" customFormat="1" customHeight="1" ht="11.25" hidden="1">
      <c r="C13" s="514"/>
      <c r="D13" s="515" t="s">
        <v>529</v>
      </c>
      <c r="E13" s="515"/>
      <c r="F13" s="515"/>
      <c r="G13" s="515"/>
      <c r="H13" s="513"/>
      <c r="I13" s="513"/>
      <c r="J13" s="451"/>
      <c r="L13" s="1630"/>
      <c r="M13" s="1630"/>
      <c r="N13" s="1630"/>
      <c r="O13" s="1630"/>
      <c r="P13" s="1630"/>
      <c r="Q13" s="1630"/>
      <c r="R13" s="1630"/>
      <c r="S13" s="1630"/>
      <c r="T13" s="1630"/>
      <c r="U13" s="1630"/>
      <c r="V13" s="512">
        <v>0</v>
      </c>
    </row>
    <row customHeight="1" ht="14.699999999999998">
      <c r="A14" s="1623"/>
      <c r="C14" s="1532"/>
      <c r="D14" s="2249" t="s">
        <v>141</v>
      </c>
      <c r="E14" s="2251"/>
      <c r="F14" s="1633"/>
      <c r="G14" s="1632" t="s">
        <v>141</v>
      </c>
      <c r="H14" s="1639"/>
      <c r="I14" s="1637"/>
      <c r="J14" s="2185" t="s">
        <v>540</v>
      </c>
      <c r="K14" s="1623"/>
      <c r="R14" s="516" t="s">
        <v>534</v>
      </c>
      <c r="S14" s="516" t="s">
        <v>534</v>
      </c>
      <c r="V14" s="1623">
        <v>14</v>
      </c>
    </row>
    <row customHeight="1" ht="14.699999999999998">
      <c r="A15" s="1623"/>
      <c r="C15" s="1532"/>
      <c r="D15" s="2250"/>
      <c r="E15" s="2252"/>
      <c r="F15" s="421"/>
      <c r="G15" s="885"/>
      <c r="H15" s="885" t="s">
        <v>536</v>
      </c>
      <c r="I15" s="329"/>
      <c r="J15" s="2186"/>
      <c r="K15" s="1623"/>
      <c r="R15" s="516"/>
      <c r="S15" s="516"/>
      <c r="V15" s="1623">
        <v>14</v>
      </c>
    </row>
    <row customHeight="1" ht="14.699999999999998">
      <c r="A16" s="1623"/>
      <c r="C16" s="1532"/>
      <c r="D16" s="421"/>
      <c r="E16" s="885" t="s">
        <v>190</v>
      </c>
      <c r="F16" s="329"/>
      <c r="G16" s="329"/>
      <c r="H16" s="422"/>
      <c r="I16" s="422"/>
      <c r="J16" s="2187"/>
      <c r="K16" s="1623"/>
      <c r="V16" s="1623">
        <v>14</v>
      </c>
    </row>
    <row customHeight="1" ht="14.699999999999998">
      <c r="K17" s="1623"/>
      <c r="V17" s="1623">
        <v>14</v>
      </c>
    </row>
    <row customHeight="1" ht="22.5" hidden="1">
      <c r="A18" s="1624" t="s">
        <v>85</v>
      </c>
      <c r="B18" s="1623">
        <v>0</v>
      </c>
      <c r="C18" s="467">
        <v>3</v>
      </c>
      <c r="D18" s="1623">
        <v>5</v>
      </c>
      <c r="E18" s="1623">
        <v>38</v>
      </c>
      <c r="F18" s="1623">
        <v>3</v>
      </c>
      <c r="G18" s="1623">
        <v>3</v>
      </c>
      <c r="H18" s="1623">
        <v>38</v>
      </c>
      <c r="I18" s="1623">
        <v>35</v>
      </c>
      <c r="J18" s="1623">
        <v>103</v>
      </c>
      <c r="K18" s="1625">
        <v>3</v>
      </c>
      <c r="L18" s="1630">
        <v>10</v>
      </c>
      <c r="M18" s="1630">
        <v>10</v>
      </c>
      <c r="N18" s="1630">
        <v>10</v>
      </c>
      <c r="O18" s="1630">
        <v>13</v>
      </c>
      <c r="P18" s="1630">
        <v>15</v>
      </c>
      <c r="Q18" s="1630">
        <v>16</v>
      </c>
      <c r="R18" s="1630">
        <v>10</v>
      </c>
      <c r="S18" s="1630">
        <v>10</v>
      </c>
      <c r="T18" s="1630">
        <v>10</v>
      </c>
      <c r="U18" s="1630">
        <v>10</v>
      </c>
      <c r="V18" s="162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